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402" documentId="8_{2D9473F4-AF47-4674-A87C-8C6DDAD1AB5B}" xr6:coauthVersionLast="47" xr6:coauthVersionMax="47" xr10:uidLastSave="{A354BA47-898F-414F-8874-A6C7A887F470}"/>
  <bookViews>
    <workbookView xWindow="-108" yWindow="-108" windowWidth="23256" windowHeight="12456" firstSheet="1" activeTab="1" xr2:uid="{92C97830-FCEF-4E6C-9991-E4C316F0A80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U5" i="2"/>
  <c r="M3" i="1"/>
  <c r="U10" i="2" l="1"/>
  <c r="T26" i="2"/>
  <c r="M5" i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U15" i="2"/>
  <c r="U8" i="2"/>
  <c r="U2" i="2"/>
  <c r="T17" i="2"/>
  <c r="S24" i="2"/>
  <c r="S23" i="2"/>
  <c r="T22" i="2"/>
  <c r="S22" i="2"/>
  <c r="T21" i="2"/>
  <c r="S21" i="2"/>
  <c r="T20" i="2"/>
  <c r="S20" i="2"/>
  <c r="T19" i="2"/>
  <c r="S19" i="2"/>
  <c r="J17" i="2"/>
  <c r="I17" i="2"/>
  <c r="H17" i="2"/>
  <c r="G17" i="2"/>
  <c r="F17" i="2"/>
  <c r="K17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T15" i="2"/>
  <c r="T12" i="2"/>
  <c r="T10" i="2"/>
  <c r="T8" i="2"/>
  <c r="T9" i="2" s="1"/>
  <c r="T11" i="2" s="1"/>
  <c r="T7" i="2"/>
  <c r="T6" i="2"/>
  <c r="T5" i="2"/>
  <c r="T4" i="2"/>
  <c r="T3" i="2"/>
  <c r="T2" i="2"/>
  <c r="S15" i="2"/>
  <c r="S12" i="2"/>
  <c r="S11" i="2"/>
  <c r="S13" i="2" s="1"/>
  <c r="S14" i="2" s="1"/>
  <c r="S10" i="2"/>
  <c r="S9" i="2"/>
  <c r="S8" i="2"/>
  <c r="S7" i="2"/>
  <c r="S6" i="2"/>
  <c r="S5" i="2"/>
  <c r="S4" i="2"/>
  <c r="S3" i="2"/>
  <c r="S2" i="2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T1" i="2"/>
  <c r="B10" i="2"/>
  <c r="B8" i="2"/>
  <c r="B4" i="2"/>
  <c r="C10" i="2"/>
  <c r="C8" i="2"/>
  <c r="C4" i="2"/>
  <c r="E10" i="2"/>
  <c r="E8" i="2"/>
  <c r="E4" i="2"/>
  <c r="I10" i="2"/>
  <c r="I8" i="2"/>
  <c r="I4" i="2"/>
  <c r="V2" i="2" l="1"/>
  <c r="U3" i="2"/>
  <c r="V8" i="2"/>
  <c r="U17" i="2"/>
  <c r="U20" i="2"/>
  <c r="V17" i="2"/>
  <c r="V20" i="2"/>
  <c r="U21" i="2"/>
  <c r="V21" i="2"/>
  <c r="U22" i="2"/>
  <c r="V22" i="2"/>
  <c r="U4" i="2"/>
  <c r="T24" i="2"/>
  <c r="T13" i="2"/>
  <c r="T14" i="2" s="1"/>
  <c r="T23" i="2"/>
  <c r="B9" i="2"/>
  <c r="B11" i="2" s="1"/>
  <c r="B13" i="2" s="1"/>
  <c r="B14" i="2" s="1"/>
  <c r="C9" i="2"/>
  <c r="C11" i="2" s="1"/>
  <c r="C13" i="2" s="1"/>
  <c r="C14" i="2" s="1"/>
  <c r="E9" i="2"/>
  <c r="E11" i="2" s="1"/>
  <c r="E13" i="2" s="1"/>
  <c r="E14" i="2" s="1"/>
  <c r="I9" i="2"/>
  <c r="I11" i="2" s="1"/>
  <c r="I13" i="2" s="1"/>
  <c r="I14" i="2" s="1"/>
  <c r="W2" i="2" l="1"/>
  <c r="V3" i="2"/>
  <c r="V4" i="2" s="1"/>
  <c r="V19" i="2" s="1"/>
  <c r="W8" i="2"/>
  <c r="V9" i="2"/>
  <c r="V23" i="2" s="1"/>
  <c r="U9" i="2"/>
  <c r="U19" i="2"/>
  <c r="X2" i="2" l="1"/>
  <c r="W3" i="2"/>
  <c r="W17" i="2"/>
  <c r="W4" i="2"/>
  <c r="W20" i="2"/>
  <c r="W21" i="2"/>
  <c r="W22" i="2"/>
  <c r="X8" i="2"/>
  <c r="X20" i="2"/>
  <c r="U23" i="2"/>
  <c r="U11" i="2"/>
  <c r="W19" i="2" l="1"/>
  <c r="W9" i="2"/>
  <c r="W23" i="2" s="1"/>
  <c r="Y2" i="2"/>
  <c r="X3" i="2"/>
  <c r="X22" i="2"/>
  <c r="X4" i="2"/>
  <c r="X17" i="2"/>
  <c r="X21" i="2"/>
  <c r="Y8" i="2"/>
  <c r="Y20" i="2"/>
  <c r="U12" i="2"/>
  <c r="U24" i="2" s="1"/>
  <c r="X19" i="2" l="1"/>
  <c r="X9" i="2"/>
  <c r="X23" i="2" s="1"/>
  <c r="Z2" i="2"/>
  <c r="Y3" i="2"/>
  <c r="Y22" i="2"/>
  <c r="Y4" i="2"/>
  <c r="Y21" i="2"/>
  <c r="Y17" i="2"/>
  <c r="Z8" i="2"/>
  <c r="Z20" i="2"/>
  <c r="U13" i="2"/>
  <c r="Y19" i="2" l="1"/>
  <c r="Y9" i="2"/>
  <c r="Y23" i="2" s="1"/>
  <c r="AA2" i="2"/>
  <c r="Z3" i="2"/>
  <c r="Z21" i="2"/>
  <c r="Z22" i="2"/>
  <c r="Z4" i="2"/>
  <c r="Z17" i="2"/>
  <c r="AA8" i="2"/>
  <c r="AA20" i="2"/>
  <c r="U14" i="2"/>
  <c r="U26" i="2"/>
  <c r="V10" i="2" s="1"/>
  <c r="D10" i="2"/>
  <c r="H10" i="2"/>
  <c r="H8" i="2"/>
  <c r="H4" i="2"/>
  <c r="D8" i="2"/>
  <c r="D4" i="2"/>
  <c r="F10" i="2"/>
  <c r="F8" i="2"/>
  <c r="F4" i="2"/>
  <c r="J10" i="2"/>
  <c r="K40" i="2"/>
  <c r="K39" i="2"/>
  <c r="K38" i="2"/>
  <c r="K42" i="2" s="1"/>
  <c r="K33" i="2"/>
  <c r="K44" i="2" s="1"/>
  <c r="K27" i="2"/>
  <c r="K26" i="2" s="1"/>
  <c r="K22" i="2"/>
  <c r="K21" i="2"/>
  <c r="K20" i="2"/>
  <c r="K19" i="2"/>
  <c r="J8" i="2"/>
  <c r="J4" i="2"/>
  <c r="G10" i="2"/>
  <c r="G8" i="2"/>
  <c r="G4" i="2"/>
  <c r="K4" i="2"/>
  <c r="K10" i="2"/>
  <c r="K8" i="2"/>
  <c r="K9" i="2" s="1"/>
  <c r="M4" i="1"/>
  <c r="M7" i="1" s="1"/>
  <c r="Z19" i="2" l="1"/>
  <c r="Z9" i="2"/>
  <c r="Z23" i="2" s="1"/>
  <c r="AB2" i="2"/>
  <c r="AA3" i="2"/>
  <c r="AA21" i="2"/>
  <c r="AA22" i="2"/>
  <c r="AA4" i="2"/>
  <c r="AA17" i="2"/>
  <c r="AB8" i="2"/>
  <c r="AB20" i="2"/>
  <c r="V11" i="2"/>
  <c r="D9" i="2"/>
  <c r="D11" i="2" s="1"/>
  <c r="D13" i="2" s="1"/>
  <c r="D14" i="2" s="1"/>
  <c r="H9" i="2"/>
  <c r="H11" i="2" s="1"/>
  <c r="H13" i="2" s="1"/>
  <c r="H14" i="2" s="1"/>
  <c r="K11" i="2"/>
  <c r="K23" i="2"/>
  <c r="K45" i="2"/>
  <c r="F9" i="2"/>
  <c r="J9" i="2"/>
  <c r="J11" i="2" s="1"/>
  <c r="J13" i="2" s="1"/>
  <c r="J14" i="2" s="1"/>
  <c r="G9" i="2"/>
  <c r="G11" i="2" s="1"/>
  <c r="G13" i="2" s="1"/>
  <c r="G14" i="2" s="1"/>
  <c r="AA19" i="2" l="1"/>
  <c r="AA9" i="2"/>
  <c r="AA23" i="2" s="1"/>
  <c r="AC2" i="2"/>
  <c r="AB3" i="2"/>
  <c r="AB17" i="2"/>
  <c r="AB21" i="2"/>
  <c r="AB22" i="2"/>
  <c r="AB4" i="2"/>
  <c r="AC8" i="2"/>
  <c r="AC20" i="2"/>
  <c r="V12" i="2"/>
  <c r="V24" i="2" s="1"/>
  <c r="V13" i="2"/>
  <c r="K13" i="2"/>
  <c r="K24" i="2"/>
  <c r="F11" i="2"/>
  <c r="F13" i="2" s="1"/>
  <c r="F14" i="2" s="1"/>
  <c r="AB19" i="2" l="1"/>
  <c r="AB9" i="2"/>
  <c r="AB23" i="2" s="1"/>
  <c r="AD2" i="2"/>
  <c r="AC3" i="2"/>
  <c r="AC17" i="2"/>
  <c r="AC21" i="2"/>
  <c r="AC22" i="2"/>
  <c r="AC4" i="2"/>
  <c r="AD8" i="2"/>
  <c r="AD20" i="2"/>
  <c r="V14" i="2"/>
  <c r="V26" i="2"/>
  <c r="W10" i="2" s="1"/>
  <c r="K47" i="2"/>
  <c r="K14" i="2"/>
  <c r="K48" i="2"/>
  <c r="AC19" i="2" l="1"/>
  <c r="AC9" i="2"/>
  <c r="AC23" i="2" s="1"/>
  <c r="AE2" i="2"/>
  <c r="AD3" i="2"/>
  <c r="AD4" i="2"/>
  <c r="AD17" i="2"/>
  <c r="AD21" i="2"/>
  <c r="AD22" i="2"/>
  <c r="AE8" i="2"/>
  <c r="AE20" i="2"/>
  <c r="W11" i="2"/>
  <c r="AD19" i="2" l="1"/>
  <c r="AD9" i="2"/>
  <c r="AD23" i="2" s="1"/>
  <c r="AF2" i="2"/>
  <c r="AE3" i="2"/>
  <c r="AE4" i="2"/>
  <c r="AE17" i="2"/>
  <c r="AE21" i="2"/>
  <c r="AE22" i="2"/>
  <c r="AF8" i="2"/>
  <c r="AF20" i="2"/>
  <c r="W12" i="2"/>
  <c r="W24" i="2" s="1"/>
  <c r="AE19" i="2" l="1"/>
  <c r="AE9" i="2"/>
  <c r="AE23" i="2" s="1"/>
  <c r="AG2" i="2"/>
  <c r="AF3" i="2"/>
  <c r="AF22" i="2"/>
  <c r="AF4" i="2"/>
  <c r="AF17" i="2"/>
  <c r="AF21" i="2"/>
  <c r="AG8" i="2"/>
  <c r="AG20" i="2"/>
  <c r="W13" i="2"/>
  <c r="AF19" i="2" l="1"/>
  <c r="AF9" i="2"/>
  <c r="AF23" i="2" s="1"/>
  <c r="AH2" i="2"/>
  <c r="AG3" i="2"/>
  <c r="AG4" i="2"/>
  <c r="AG21" i="2"/>
  <c r="AG22" i="2"/>
  <c r="AG17" i="2"/>
  <c r="AH8" i="2"/>
  <c r="AH20" i="2"/>
  <c r="W14" i="2"/>
  <c r="W26" i="2"/>
  <c r="X10" i="2" s="1"/>
  <c r="AG19" i="2" l="1"/>
  <c r="AG9" i="2"/>
  <c r="AG23" i="2" s="1"/>
  <c r="AI2" i="2"/>
  <c r="AH3" i="2"/>
  <c r="AH21" i="2"/>
  <c r="AH22" i="2"/>
  <c r="AH4" i="2"/>
  <c r="AH17" i="2"/>
  <c r="AI8" i="2"/>
  <c r="AI20" i="2"/>
  <c r="X11" i="2"/>
  <c r="AH19" i="2" l="1"/>
  <c r="AH9" i="2"/>
  <c r="AH23" i="2" s="1"/>
  <c r="AJ2" i="2"/>
  <c r="AI3" i="2"/>
  <c r="AI21" i="2"/>
  <c r="AI22" i="2"/>
  <c r="AI4" i="2"/>
  <c r="AI17" i="2"/>
  <c r="AJ8" i="2"/>
  <c r="AJ20" i="2"/>
  <c r="X12" i="2"/>
  <c r="X24" i="2" s="1"/>
  <c r="AI19" i="2" l="1"/>
  <c r="AI9" i="2"/>
  <c r="AI23" i="2" s="1"/>
  <c r="AK2" i="2"/>
  <c r="AJ3" i="2"/>
  <c r="AJ17" i="2"/>
  <c r="AJ21" i="2"/>
  <c r="AJ22" i="2"/>
  <c r="AJ4" i="2"/>
  <c r="AK8" i="2"/>
  <c r="AK20" i="2"/>
  <c r="X13" i="2"/>
  <c r="X14" i="2" s="1"/>
  <c r="AJ19" i="2" l="1"/>
  <c r="AJ9" i="2"/>
  <c r="AJ23" i="2" s="1"/>
  <c r="AK3" i="2"/>
  <c r="AK4" i="2" s="1"/>
  <c r="AK17" i="2"/>
  <c r="AK21" i="2"/>
  <c r="AK22" i="2"/>
  <c r="X26" i="2"/>
  <c r="Y10" i="2" s="1"/>
  <c r="Y11" i="2"/>
  <c r="AK19" i="2" l="1"/>
  <c r="AK9" i="2"/>
  <c r="AK23" i="2" s="1"/>
  <c r="Y12" i="2"/>
  <c r="Y24" i="2" s="1"/>
  <c r="Y13" i="2" l="1"/>
  <c r="Y14" i="2" l="1"/>
  <c r="Y26" i="2"/>
  <c r="Z10" i="2" s="1"/>
  <c r="Z11" i="2" l="1"/>
  <c r="Z12" i="2" l="1"/>
  <c r="Z24" i="2" s="1"/>
  <c r="Z13" i="2" l="1"/>
  <c r="Z14" i="2" s="1"/>
  <c r="Z26" i="2" l="1"/>
  <c r="AA10" i="2" s="1"/>
  <c r="AA11" i="2"/>
  <c r="AA12" i="2" l="1"/>
  <c r="AA24" i="2" s="1"/>
  <c r="AA13" i="2" l="1"/>
  <c r="AA14" i="2"/>
  <c r="AA26" i="2"/>
  <c r="AB10" i="2" s="1"/>
  <c r="AB11" i="2" l="1"/>
  <c r="AB12" i="2" l="1"/>
  <c r="AB24" i="2" s="1"/>
  <c r="AB13" i="2" l="1"/>
  <c r="AB14" i="2" s="1"/>
  <c r="AB26" i="2" l="1"/>
  <c r="AC10" i="2" s="1"/>
  <c r="AC11" i="2"/>
  <c r="AC12" i="2" l="1"/>
  <c r="AC24" i="2" s="1"/>
  <c r="AC13" i="2"/>
  <c r="AC14" i="2" l="1"/>
  <c r="AC26" i="2"/>
  <c r="AD10" i="2" s="1"/>
  <c r="AD11" i="2" l="1"/>
  <c r="AD12" i="2" l="1"/>
  <c r="AD24" i="2" s="1"/>
  <c r="AD13" i="2"/>
  <c r="AD14" i="2" l="1"/>
  <c r="AD26" i="2"/>
  <c r="AE10" i="2" s="1"/>
  <c r="AE11" i="2" l="1"/>
  <c r="AE12" i="2" l="1"/>
  <c r="AE24" i="2" s="1"/>
  <c r="AE13" i="2" l="1"/>
  <c r="AE14" i="2" s="1"/>
  <c r="AE26" i="2" l="1"/>
  <c r="AF10" i="2" s="1"/>
  <c r="AF11" i="2" s="1"/>
  <c r="AF12" i="2" l="1"/>
  <c r="AF24" i="2" s="1"/>
  <c r="AF13" i="2" l="1"/>
  <c r="AF14" i="2" s="1"/>
  <c r="AF26" i="2"/>
  <c r="AG10" i="2" s="1"/>
  <c r="AG11" i="2" l="1"/>
  <c r="AG12" i="2" l="1"/>
  <c r="AG24" i="2" s="1"/>
  <c r="AG13" i="2" l="1"/>
  <c r="AG14" i="2" s="1"/>
  <c r="AG26" i="2"/>
  <c r="AH10" i="2" s="1"/>
  <c r="AH11" i="2" l="1"/>
  <c r="AH12" i="2" l="1"/>
  <c r="AH24" i="2" s="1"/>
  <c r="AH13" i="2" l="1"/>
  <c r="AH14" i="2"/>
  <c r="AH26" i="2"/>
  <c r="AI10" i="2" s="1"/>
  <c r="AI11" i="2" l="1"/>
  <c r="AI12" i="2" l="1"/>
  <c r="AI24" i="2" s="1"/>
  <c r="AI13" i="2"/>
  <c r="AI14" i="2" l="1"/>
  <c r="AI26" i="2"/>
  <c r="AJ10" i="2" s="1"/>
  <c r="AJ11" i="2" l="1"/>
  <c r="AJ12" i="2" l="1"/>
  <c r="AJ24" i="2" s="1"/>
  <c r="AJ13" i="2"/>
  <c r="AJ14" i="2" l="1"/>
  <c r="AJ26" i="2"/>
  <c r="AK10" i="2" s="1"/>
  <c r="AK11" i="2" l="1"/>
  <c r="AK12" i="2" l="1"/>
  <c r="AK24" i="2" s="1"/>
  <c r="AK13" i="2" l="1"/>
  <c r="AK14" i="2" l="1"/>
  <c r="AL13" i="2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N22" i="2" s="1"/>
  <c r="N23" i="2" s="1"/>
  <c r="N24" i="2" s="1"/>
  <c r="N25" i="2" s="1"/>
  <c r="AK26" i="2"/>
</calcChain>
</file>

<file path=xl/sharedStrings.xml><?xml version="1.0" encoding="utf-8"?>
<sst xmlns="http://schemas.openxmlformats.org/spreadsheetml/2006/main" count="70" uniqueCount="63">
  <si>
    <t>PLTR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</si>
  <si>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</si>
  <si>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</si>
  <si>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</si>
  <si>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</si>
  <si>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</si>
  <si>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</si>
  <si>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</si>
  <si>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</si>
  <si>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</si>
  <si>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</si>
  <si>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</si>
  <si>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</si>
  <si>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</si>
  <si>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</si>
  <si>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</si>
  <si>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</si>
  <si>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 xml:space="preserve"> </t>
  </si>
  <si>
    <t>Revenue</t>
  </si>
  <si>
    <t>COGS</t>
  </si>
  <si>
    <t>Gross Profit</t>
  </si>
  <si>
    <t>SM</t>
  </si>
  <si>
    <t>RD</t>
  </si>
  <si>
    <t>GA</t>
  </si>
  <si>
    <t>OPEX</t>
  </si>
  <si>
    <t>Operating Income</t>
  </si>
  <si>
    <t>Interest Income</t>
  </si>
  <si>
    <t>Pretaxe</t>
  </si>
  <si>
    <t>Taxes</t>
  </si>
  <si>
    <t>Net Icome</t>
  </si>
  <si>
    <t>EPS</t>
  </si>
  <si>
    <t>Revenue y/y</t>
  </si>
  <si>
    <t>Terminal</t>
  </si>
  <si>
    <t>Gross %</t>
  </si>
  <si>
    <t>ROIC</t>
  </si>
  <si>
    <t>SM %</t>
  </si>
  <si>
    <t>MR</t>
  </si>
  <si>
    <t>RD %</t>
  </si>
  <si>
    <t>DR</t>
  </si>
  <si>
    <t>GA %</t>
  </si>
  <si>
    <t>NPV</t>
  </si>
  <si>
    <t>Operating %</t>
  </si>
  <si>
    <t>TV</t>
  </si>
  <si>
    <t>Taxe rate</t>
  </si>
  <si>
    <t>Per Share</t>
  </si>
  <si>
    <t>Ratio</t>
  </si>
  <si>
    <t>NC</t>
  </si>
  <si>
    <t>A/R</t>
  </si>
  <si>
    <t>OCA</t>
  </si>
  <si>
    <t>PPE</t>
  </si>
  <si>
    <t>OLA</t>
  </si>
  <si>
    <t>Other</t>
  </si>
  <si>
    <t>Assets</t>
  </si>
  <si>
    <t>A/P</t>
  </si>
  <si>
    <t>AL</t>
  </si>
  <si>
    <t>D/R</t>
  </si>
  <si>
    <t>Deposits</t>
  </si>
  <si>
    <t>OLL</t>
  </si>
  <si>
    <t>Liabilities</t>
  </si>
  <si>
    <t>S/E</t>
  </si>
  <si>
    <t>L+SE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</si>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</sst>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0000000"/>
  </numFmts>
  <fonts count="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43" fontId="0" fillId="0" borderId="0" xfId="1" applyFont="1"/>
    <xf numFmtId="9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9A47-7952-45E3-A071-B1371C6DB3E6}">
  <dimension ref="B2:M7"/>
  <sheetViews>
    <sheetView workbookViewId="0">
      <selection activeCell="M7" sqref="M7"/>
    </sheetView>
  </sheetViews>
  <sheetFormatPr defaultRowHeight="13.9"/>
  <cols>
    <col min="13" max="13" width="13.5" bestFit="1" customWidth="1"/>
  </cols>
  <sheetData>
    <row r="2" spans="2:13">
      <c r="B2" s="2" t="s">
        <v>0</v>
      </c>
      <c r="L2" t="s">
        <v>1</v>
      </c>
      <c r="M2" s="3">
        <v>41</v>
      </c>
    </row>
    <row r="3" spans="2:13">
      <c r="L3" t="s">
        <v>2</v>
      </c>
      <c r="M3" s="3">
        <f>2142.323448+96.125336+1.005</f>
        <v>2239.4537840000003</v>
      </c>
    </row>
    <row r="4" spans="2:13">
      <c r="L4" t="s">
        <v>3</v>
      </c>
      <c r="M4" s="4">
        <f>+M2*M3</f>
        <v>91817.605144000016</v>
      </c>
    </row>
    <row r="5" spans="2:13">
      <c r="L5" t="s">
        <v>4</v>
      </c>
      <c r="M5" s="3">
        <f>512.659+3485.8</f>
        <v>3998.4590000000003</v>
      </c>
    </row>
    <row r="6" spans="2:13">
      <c r="L6" t="s">
        <v>5</v>
      </c>
      <c r="M6" s="3">
        <v>0</v>
      </c>
    </row>
    <row r="7" spans="2:13">
      <c r="L7" t="s">
        <v>6</v>
      </c>
      <c r="M7" s="3">
        <f>+M4-M5+M6</f>
        <v>87819.146144000013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EC0A-44D0-4DF4-9741-764841E9F0F2}">
  <dimension ref="A1:BM48"/>
  <sheetViews>
    <sheetView tabSelected="1" workbookViewId="0">
      <pane xSplit="1" ySplit="1" topLeftCell="I5" activePane="bottomRight" state="frozen"/>
      <selection pane="bottomRight" activeCell="O26" sqref="O26"/>
      <selection pane="bottomLeft" activeCell="A2" sqref="A2"/>
      <selection pane="topRight" activeCell="B1" sqref="B1"/>
    </sheetView>
  </sheetViews>
  <sheetFormatPr defaultRowHeight="13.9"/>
  <cols>
    <col min="1" max="1" width="15.125" bestFit="1" customWidth="1"/>
    <col min="11" max="11" width="8.75" style="3"/>
    <col min="14" max="14" width="17.875" bestFit="1" customWidth="1"/>
  </cols>
  <sheetData>
    <row r="1" spans="1:6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S1">
        <v>2022</v>
      </c>
      <c r="T1">
        <f>+S1+1</f>
        <v>2023</v>
      </c>
      <c r="U1">
        <f t="shared" ref="U1:AK1" si="0">+T1+1</f>
        <v>2024</v>
      </c>
      <c r="V1">
        <f t="shared" si="0"/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  <c r="AC1">
        <f t="shared" si="0"/>
        <v>2032</v>
      </c>
      <c r="AD1">
        <f t="shared" si="0"/>
        <v>2033</v>
      </c>
      <c r="AE1">
        <f t="shared" si="0"/>
        <v>2034</v>
      </c>
      <c r="AF1">
        <f t="shared" si="0"/>
        <v>2035</v>
      </c>
      <c r="AG1">
        <f t="shared" si="0"/>
        <v>2036</v>
      </c>
      <c r="AH1">
        <f t="shared" si="0"/>
        <v>2037</v>
      </c>
      <c r="AI1">
        <f t="shared" si="0"/>
        <v>2038</v>
      </c>
      <c r="AJ1">
        <f t="shared" si="0"/>
        <v>2039</v>
      </c>
      <c r="AK1">
        <f t="shared" si="0"/>
        <v>2040</v>
      </c>
      <c r="AL1" t="s">
        <v>17</v>
      </c>
    </row>
    <row r="2" spans="1:65" s="1" customFormat="1">
      <c r="A2" s="1" t="s">
        <v>18</v>
      </c>
      <c r="B2" s="1">
        <v>446.35700000000003</v>
      </c>
      <c r="C2" s="1">
        <v>473.01</v>
      </c>
      <c r="D2" s="1">
        <v>477.88</v>
      </c>
      <c r="E2" s="1">
        <v>508.62400000000002</v>
      </c>
      <c r="F2" s="1">
        <v>525.18600000000004</v>
      </c>
      <c r="G2" s="1">
        <v>533.31700000000001</v>
      </c>
      <c r="H2" s="1">
        <v>558.15899999999999</v>
      </c>
      <c r="I2" s="1">
        <v>608.35</v>
      </c>
      <c r="J2" s="1">
        <v>634.33799999999997</v>
      </c>
      <c r="K2" s="1">
        <v>678.13400000000001</v>
      </c>
      <c r="S2" s="1">
        <f>SUM(B2:E2)</f>
        <v>1905.8709999999999</v>
      </c>
      <c r="T2" s="1">
        <f>SUM(F2:I2)</f>
        <v>2225.0120000000002</v>
      </c>
      <c r="U2" s="1">
        <f>+T2*(1+$N$20)</f>
        <v>2558.7638000000002</v>
      </c>
      <c r="V2" s="1">
        <f t="shared" ref="V2:AK2" si="1">+U2*(1+$N$20)</f>
        <v>2942.5783700000002</v>
      </c>
      <c r="W2" s="1">
        <f t="shared" si="1"/>
        <v>3383.9651254999999</v>
      </c>
      <c r="X2" s="1">
        <f t="shared" si="1"/>
        <v>3891.5598943249997</v>
      </c>
      <c r="Y2" s="1">
        <f t="shared" si="1"/>
        <v>4475.2938784737489</v>
      </c>
      <c r="Z2" s="1">
        <f t="shared" si="1"/>
        <v>5146.5879602448113</v>
      </c>
      <c r="AA2" s="1">
        <f t="shared" si="1"/>
        <v>5918.5761542815326</v>
      </c>
      <c r="AB2" s="1">
        <f t="shared" si="1"/>
        <v>6806.3625774237616</v>
      </c>
      <c r="AC2" s="1">
        <f t="shared" si="1"/>
        <v>7827.3169640373253</v>
      </c>
      <c r="AD2" s="1">
        <f t="shared" si="1"/>
        <v>9001.4145086429235</v>
      </c>
      <c r="AE2" s="1">
        <f t="shared" si="1"/>
        <v>10351.626684939361</v>
      </c>
      <c r="AF2" s="1">
        <f t="shared" si="1"/>
        <v>11904.370687680264</v>
      </c>
      <c r="AG2" s="1">
        <f t="shared" si="1"/>
        <v>13690.026290832304</v>
      </c>
      <c r="AH2" s="1">
        <f t="shared" si="1"/>
        <v>15743.530234457148</v>
      </c>
      <c r="AI2" s="1">
        <f t="shared" si="1"/>
        <v>18105.059769625717</v>
      </c>
      <c r="AJ2" s="1">
        <f t="shared" si="1"/>
        <v>20820.818735069573</v>
      </c>
      <c r="AK2" s="1">
        <f t="shared" si="1"/>
        <v>23943.941545330006</v>
      </c>
    </row>
    <row r="3" spans="1:65">
      <c r="A3" t="s">
        <v>19</v>
      </c>
      <c r="B3">
        <v>94.403000000000006</v>
      </c>
      <c r="C3">
        <v>102.224</v>
      </c>
      <c r="D3">
        <v>107.611</v>
      </c>
      <c r="E3">
        <v>104.31100000000001</v>
      </c>
      <c r="F3">
        <v>107.645</v>
      </c>
      <c r="G3">
        <v>106.899</v>
      </c>
      <c r="H3">
        <v>107.922</v>
      </c>
      <c r="I3">
        <v>108.639</v>
      </c>
      <c r="J3">
        <v>116.256</v>
      </c>
      <c r="K3">
        <v>128.56200000000001</v>
      </c>
      <c r="S3">
        <f>SUM(B3:E3)</f>
        <v>408.54899999999998</v>
      </c>
      <c r="T3">
        <f>SUM(F3:I3)</f>
        <v>431.10500000000002</v>
      </c>
      <c r="U3">
        <f>+U2*0.18</f>
        <v>460.57748400000003</v>
      </c>
      <c r="V3">
        <f t="shared" ref="V3:AK3" si="2">+V2*0.18</f>
        <v>529.66410659999997</v>
      </c>
      <c r="W3">
        <f t="shared" si="2"/>
        <v>609.11372258999995</v>
      </c>
      <c r="X3">
        <f t="shared" si="2"/>
        <v>700.48078097849998</v>
      </c>
      <c r="Y3">
        <f t="shared" si="2"/>
        <v>805.55289812527474</v>
      </c>
      <c r="Z3">
        <f t="shared" si="2"/>
        <v>926.38583284406604</v>
      </c>
      <c r="AA3">
        <f t="shared" si="2"/>
        <v>1065.3437077706758</v>
      </c>
      <c r="AB3">
        <f t="shared" si="2"/>
        <v>1225.1452639362772</v>
      </c>
      <c r="AC3">
        <f t="shared" si="2"/>
        <v>1408.9170535267185</v>
      </c>
      <c r="AD3">
        <f t="shared" si="2"/>
        <v>1620.2546115557261</v>
      </c>
      <c r="AE3">
        <f t="shared" si="2"/>
        <v>1863.292803289085</v>
      </c>
      <c r="AF3">
        <f t="shared" si="2"/>
        <v>2142.7867237824476</v>
      </c>
      <c r="AG3">
        <f t="shared" si="2"/>
        <v>2464.2047323498145</v>
      </c>
      <c r="AH3">
        <f t="shared" si="2"/>
        <v>2833.8354422022867</v>
      </c>
      <c r="AI3">
        <f t="shared" si="2"/>
        <v>3258.9107585326292</v>
      </c>
      <c r="AJ3">
        <f t="shared" si="2"/>
        <v>3747.7473723125231</v>
      </c>
      <c r="AK3">
        <f t="shared" si="2"/>
        <v>4309.9094781594013</v>
      </c>
    </row>
    <row r="4" spans="1:65" s="1" customFormat="1">
      <c r="A4" s="1" t="s">
        <v>20</v>
      </c>
      <c r="B4" s="1">
        <f t="shared" ref="B4:K4" si="3">+B2-B3</f>
        <v>351.95400000000001</v>
      </c>
      <c r="C4" s="1">
        <f t="shared" si="3"/>
        <v>370.786</v>
      </c>
      <c r="D4" s="1">
        <f t="shared" si="3"/>
        <v>370.26900000000001</v>
      </c>
      <c r="E4" s="1">
        <f t="shared" si="3"/>
        <v>404.31299999999999</v>
      </c>
      <c r="F4" s="1">
        <f t="shared" si="3"/>
        <v>417.54100000000005</v>
      </c>
      <c r="G4" s="1">
        <f t="shared" si="3"/>
        <v>426.41800000000001</v>
      </c>
      <c r="H4" s="1">
        <f t="shared" si="3"/>
        <v>450.23699999999997</v>
      </c>
      <c r="I4" s="1">
        <f t="shared" si="3"/>
        <v>499.71100000000001</v>
      </c>
      <c r="J4" s="1">
        <f t="shared" si="3"/>
        <v>518.08199999999999</v>
      </c>
      <c r="K4" s="1">
        <f t="shared" si="3"/>
        <v>549.572</v>
      </c>
      <c r="S4" s="1">
        <f>+S2-S3</f>
        <v>1497.3219999999999</v>
      </c>
      <c r="T4" s="1">
        <f>+T2-T3</f>
        <v>1793.9070000000002</v>
      </c>
      <c r="U4" s="1">
        <f t="shared" ref="U4:AK4" si="4">+U2-U3</f>
        <v>2098.1863160000003</v>
      </c>
      <c r="V4" s="1">
        <f t="shared" si="4"/>
        <v>2412.9142634</v>
      </c>
      <c r="W4" s="1">
        <f t="shared" si="4"/>
        <v>2774.8514029099997</v>
      </c>
      <c r="X4" s="1">
        <f t="shared" si="4"/>
        <v>3191.0791133465</v>
      </c>
      <c r="Y4" s="1">
        <f t="shared" si="4"/>
        <v>3669.7409803484743</v>
      </c>
      <c r="Z4" s="1">
        <f t="shared" si="4"/>
        <v>4220.2021274007457</v>
      </c>
      <c r="AA4" s="1">
        <f t="shared" si="4"/>
        <v>4853.2324465108568</v>
      </c>
      <c r="AB4" s="1">
        <f t="shared" si="4"/>
        <v>5581.2173134874847</v>
      </c>
      <c r="AC4" s="1">
        <f t="shared" si="4"/>
        <v>6418.3999105106068</v>
      </c>
      <c r="AD4" s="1">
        <f t="shared" si="4"/>
        <v>7381.1598970871974</v>
      </c>
      <c r="AE4" s="1">
        <f t="shared" si="4"/>
        <v>8488.3338816502765</v>
      </c>
      <c r="AF4" s="1">
        <f t="shared" si="4"/>
        <v>9761.5839638978177</v>
      </c>
      <c r="AG4" s="1">
        <f t="shared" si="4"/>
        <v>11225.82155848249</v>
      </c>
      <c r="AH4" s="1">
        <f t="shared" si="4"/>
        <v>12909.694792254861</v>
      </c>
      <c r="AI4" s="1">
        <f t="shared" si="4"/>
        <v>14846.149011093088</v>
      </c>
      <c r="AJ4" s="1">
        <f t="shared" si="4"/>
        <v>17073.071362757051</v>
      </c>
      <c r="AK4" s="1">
        <f t="shared" si="4"/>
        <v>19634.032067170607</v>
      </c>
    </row>
    <row r="5" spans="1:65">
      <c r="A5" t="s">
        <v>21</v>
      </c>
      <c r="B5">
        <v>160.48500000000001</v>
      </c>
      <c r="C5">
        <v>168.875</v>
      </c>
      <c r="D5">
        <v>182.91800000000001</v>
      </c>
      <c r="E5">
        <v>190.233</v>
      </c>
      <c r="F5">
        <v>187.09299999999999</v>
      </c>
      <c r="G5">
        <v>184.16300000000001</v>
      </c>
      <c r="H5">
        <v>176.37299999999999</v>
      </c>
      <c r="I5">
        <v>197.363</v>
      </c>
      <c r="J5">
        <v>193.17699999999999</v>
      </c>
      <c r="K5">
        <v>196.809</v>
      </c>
      <c r="S5">
        <f t="shared" ref="S5:S7" si="5">SUM(B5:E5)</f>
        <v>702.51099999999997</v>
      </c>
      <c r="T5">
        <f t="shared" ref="T5:T7" si="6">SUM(F5:I5)</f>
        <v>744.99199999999996</v>
      </c>
      <c r="U5">
        <f>+T5*1.03</f>
        <v>767.34176000000002</v>
      </c>
      <c r="V5">
        <f t="shared" ref="V5:AK5" si="7">+U5*1.03</f>
        <v>790.3620128</v>
      </c>
      <c r="W5">
        <f t="shared" si="7"/>
        <v>814.07287318400006</v>
      </c>
      <c r="X5">
        <f t="shared" si="7"/>
        <v>838.49505937952006</v>
      </c>
      <c r="Y5">
        <f t="shared" si="7"/>
        <v>863.64991116090573</v>
      </c>
      <c r="Z5">
        <f t="shared" si="7"/>
        <v>889.5594084957329</v>
      </c>
      <c r="AA5">
        <f t="shared" si="7"/>
        <v>916.24619075060491</v>
      </c>
      <c r="AB5">
        <f t="shared" si="7"/>
        <v>943.73357647312309</v>
      </c>
      <c r="AC5">
        <f t="shared" si="7"/>
        <v>972.04558376731677</v>
      </c>
      <c r="AD5">
        <f t="shared" si="7"/>
        <v>1001.2069512803363</v>
      </c>
      <c r="AE5">
        <f t="shared" si="7"/>
        <v>1031.2431598187463</v>
      </c>
      <c r="AF5">
        <f t="shared" si="7"/>
        <v>1062.1804546133087</v>
      </c>
      <c r="AG5">
        <f t="shared" si="7"/>
        <v>1094.045868251708</v>
      </c>
      <c r="AH5">
        <f t="shared" si="7"/>
        <v>1126.8672442992593</v>
      </c>
      <c r="AI5">
        <f t="shared" si="7"/>
        <v>1160.673261628237</v>
      </c>
      <c r="AJ5">
        <f t="shared" si="7"/>
        <v>1195.4934594770841</v>
      </c>
      <c r="AK5">
        <f t="shared" si="7"/>
        <v>1231.3582632613966</v>
      </c>
    </row>
    <row r="6" spans="1:65">
      <c r="A6" t="s">
        <v>22</v>
      </c>
      <c r="B6">
        <v>88.600999999999999</v>
      </c>
      <c r="C6">
        <v>88.171000000000006</v>
      </c>
      <c r="D6">
        <v>100.863</v>
      </c>
      <c r="E6">
        <v>82.043999999999997</v>
      </c>
      <c r="F6">
        <v>90.1</v>
      </c>
      <c r="G6">
        <v>99.533000000000001</v>
      </c>
      <c r="H6">
        <v>105.708</v>
      </c>
      <c r="I6">
        <v>109.283</v>
      </c>
      <c r="J6">
        <v>110.04</v>
      </c>
      <c r="K6">
        <v>108.78100000000001</v>
      </c>
      <c r="S6">
        <f t="shared" si="5"/>
        <v>359.67899999999997</v>
      </c>
      <c r="T6">
        <f t="shared" si="6"/>
        <v>404.62400000000002</v>
      </c>
      <c r="U6">
        <f t="shared" ref="U6:AK6" si="8">+T6*1.03</f>
        <v>416.76272000000006</v>
      </c>
      <c r="V6">
        <f t="shared" si="8"/>
        <v>429.26560160000008</v>
      </c>
      <c r="W6">
        <f t="shared" si="8"/>
        <v>442.1435696480001</v>
      </c>
      <c r="X6">
        <f t="shared" si="8"/>
        <v>455.40787673744012</v>
      </c>
      <c r="Y6">
        <f t="shared" si="8"/>
        <v>469.07011303956335</v>
      </c>
      <c r="Z6">
        <f t="shared" si="8"/>
        <v>483.14221643075024</v>
      </c>
      <c r="AA6">
        <f t="shared" si="8"/>
        <v>497.63648292367276</v>
      </c>
      <c r="AB6">
        <f t="shared" si="8"/>
        <v>512.56557741138295</v>
      </c>
      <c r="AC6">
        <f t="shared" si="8"/>
        <v>527.9425447337245</v>
      </c>
      <c r="AD6">
        <f t="shared" si="8"/>
        <v>543.7808210757363</v>
      </c>
      <c r="AE6">
        <f t="shared" si="8"/>
        <v>560.09424570800843</v>
      </c>
      <c r="AF6">
        <f t="shared" si="8"/>
        <v>576.89707307924868</v>
      </c>
      <c r="AG6">
        <f t="shared" si="8"/>
        <v>594.20398527162615</v>
      </c>
      <c r="AH6">
        <f t="shared" si="8"/>
        <v>612.03010482977493</v>
      </c>
      <c r="AI6">
        <f t="shared" si="8"/>
        <v>630.39100797466824</v>
      </c>
      <c r="AJ6">
        <f t="shared" si="8"/>
        <v>649.30273821390836</v>
      </c>
      <c r="AK6">
        <f t="shared" si="8"/>
        <v>668.78182036032558</v>
      </c>
    </row>
    <row r="7" spans="1:65">
      <c r="A7" t="s">
        <v>23</v>
      </c>
      <c r="B7">
        <v>142.30699999999999</v>
      </c>
      <c r="C7">
        <v>155.48500000000001</v>
      </c>
      <c r="D7">
        <v>148.679</v>
      </c>
      <c r="E7">
        <v>149.86199999999999</v>
      </c>
      <c r="F7">
        <v>136.233</v>
      </c>
      <c r="G7">
        <v>132.648</v>
      </c>
      <c r="H7">
        <v>128.173</v>
      </c>
      <c r="I7">
        <v>127.271</v>
      </c>
      <c r="J7">
        <v>133.98400000000001</v>
      </c>
      <c r="K7">
        <v>138.643</v>
      </c>
      <c r="S7">
        <f t="shared" si="5"/>
        <v>596.33299999999997</v>
      </c>
      <c r="T7">
        <f t="shared" si="6"/>
        <v>524.32499999999993</v>
      </c>
      <c r="U7">
        <f t="shared" ref="U7:AK7" si="9">+T7*1.03</f>
        <v>540.0547499999999</v>
      </c>
      <c r="V7">
        <f t="shared" si="9"/>
        <v>556.25639249999995</v>
      </c>
      <c r="W7">
        <f t="shared" si="9"/>
        <v>572.94408427499991</v>
      </c>
      <c r="X7">
        <f t="shared" si="9"/>
        <v>590.13240680324998</v>
      </c>
      <c r="Y7">
        <f t="shared" si="9"/>
        <v>607.83637900734755</v>
      </c>
      <c r="Z7">
        <f t="shared" si="9"/>
        <v>626.07147037756795</v>
      </c>
      <c r="AA7">
        <f t="shared" si="9"/>
        <v>644.853614488895</v>
      </c>
      <c r="AB7">
        <f t="shared" si="9"/>
        <v>664.19922292356182</v>
      </c>
      <c r="AC7">
        <f t="shared" si="9"/>
        <v>684.12519961126873</v>
      </c>
      <c r="AD7">
        <f t="shared" si="9"/>
        <v>704.64895559960678</v>
      </c>
      <c r="AE7">
        <f t="shared" si="9"/>
        <v>725.78842426759502</v>
      </c>
      <c r="AF7">
        <f t="shared" si="9"/>
        <v>747.56207699562287</v>
      </c>
      <c r="AG7">
        <f t="shared" si="9"/>
        <v>769.98893930549161</v>
      </c>
      <c r="AH7">
        <f t="shared" si="9"/>
        <v>793.08860748465634</v>
      </c>
      <c r="AI7">
        <f t="shared" si="9"/>
        <v>816.8812657091961</v>
      </c>
      <c r="AJ7">
        <f t="shared" si="9"/>
        <v>841.38770368047199</v>
      </c>
      <c r="AK7">
        <f t="shared" si="9"/>
        <v>866.62933479088622</v>
      </c>
    </row>
    <row r="8" spans="1:65">
      <c r="A8" t="s">
        <v>24</v>
      </c>
      <c r="B8">
        <f t="shared" ref="B8:K8" si="10">+B5+B6+B7</f>
        <v>391.39300000000003</v>
      </c>
      <c r="C8">
        <f t="shared" si="10"/>
        <v>412.53100000000001</v>
      </c>
      <c r="D8">
        <f t="shared" si="10"/>
        <v>432.46000000000004</v>
      </c>
      <c r="E8">
        <f t="shared" si="10"/>
        <v>422.13900000000001</v>
      </c>
      <c r="F8">
        <f t="shared" si="10"/>
        <v>413.42599999999999</v>
      </c>
      <c r="G8">
        <f t="shared" si="10"/>
        <v>416.34400000000005</v>
      </c>
      <c r="H8">
        <f t="shared" si="10"/>
        <v>410.25400000000002</v>
      </c>
      <c r="I8">
        <f t="shared" si="10"/>
        <v>433.91700000000003</v>
      </c>
      <c r="J8">
        <f t="shared" si="10"/>
        <v>437.20100000000002</v>
      </c>
      <c r="K8">
        <f t="shared" si="10"/>
        <v>444.23300000000006</v>
      </c>
      <c r="S8">
        <f>+S5+S6+S7</f>
        <v>1658.5230000000001</v>
      </c>
      <c r="T8">
        <f t="shared" ref="T8" si="11">+T5+T6+T7</f>
        <v>1673.9409999999998</v>
      </c>
      <c r="U8">
        <f t="shared" ref="U8" si="12">+U5+U6+U7</f>
        <v>1724.1592299999998</v>
      </c>
      <c r="V8">
        <f t="shared" ref="V8" si="13">+V5+V6+V7</f>
        <v>1775.8840069</v>
      </c>
      <c r="W8">
        <f t="shared" ref="W8" si="14">+W5+W6+W7</f>
        <v>1829.1605271070002</v>
      </c>
      <c r="X8">
        <f t="shared" ref="X8" si="15">+X5+X6+X7</f>
        <v>1884.03534292021</v>
      </c>
      <c r="Y8">
        <f t="shared" ref="Y8" si="16">+Y5+Y6+Y7</f>
        <v>1940.5564032078169</v>
      </c>
      <c r="Z8">
        <f t="shared" ref="Z8" si="17">+Z5+Z6+Z7</f>
        <v>1998.7730953040511</v>
      </c>
      <c r="AA8">
        <f t="shared" ref="AA8" si="18">+AA5+AA6+AA7</f>
        <v>2058.7362881631725</v>
      </c>
      <c r="AB8">
        <f t="shared" ref="AB8" si="19">+AB5+AB6+AB7</f>
        <v>2120.4983768080679</v>
      </c>
      <c r="AC8">
        <f t="shared" ref="AC8" si="20">+AC5+AC6+AC7</f>
        <v>2184.1133281123102</v>
      </c>
      <c r="AD8">
        <f t="shared" ref="AD8" si="21">+AD5+AD6+AD7</f>
        <v>2249.6367279556794</v>
      </c>
      <c r="AE8">
        <f t="shared" ref="AE8" si="22">+AE5+AE6+AE7</f>
        <v>2317.1258297943496</v>
      </c>
      <c r="AF8">
        <f t="shared" ref="AF8" si="23">+AF5+AF6+AF7</f>
        <v>2386.63960468818</v>
      </c>
      <c r="AG8">
        <f t="shared" ref="AG8" si="24">+AG5+AG6+AG7</f>
        <v>2458.2387928288258</v>
      </c>
      <c r="AH8">
        <f t="shared" ref="AH8" si="25">+AH5+AH6+AH7</f>
        <v>2531.9859566136906</v>
      </c>
      <c r="AI8">
        <f t="shared" ref="AI8" si="26">+AI5+AI6+AI7</f>
        <v>2607.9455353121016</v>
      </c>
      <c r="AJ8">
        <f t="shared" ref="AJ8" si="27">+AJ5+AJ6+AJ7</f>
        <v>2686.1839013714643</v>
      </c>
      <c r="AK8">
        <f t="shared" ref="AK8" si="28">+AK5+AK6+AK7</f>
        <v>2766.7694184126085</v>
      </c>
    </row>
    <row r="9" spans="1:65" s="1" customFormat="1">
      <c r="A9" s="1" t="s">
        <v>25</v>
      </c>
      <c r="B9" s="1">
        <f t="shared" ref="B9:K9" si="29">+B4-B8</f>
        <v>-39.439000000000021</v>
      </c>
      <c r="C9" s="1">
        <f t="shared" si="29"/>
        <v>-41.745000000000005</v>
      </c>
      <c r="D9" s="1">
        <f t="shared" si="29"/>
        <v>-62.191000000000031</v>
      </c>
      <c r="E9" s="1">
        <f t="shared" si="29"/>
        <v>-17.826000000000022</v>
      </c>
      <c r="F9" s="1">
        <f t="shared" si="29"/>
        <v>4.1150000000000659</v>
      </c>
      <c r="G9" s="1">
        <f t="shared" si="29"/>
        <v>10.073999999999955</v>
      </c>
      <c r="H9" s="1">
        <f t="shared" si="29"/>
        <v>39.982999999999947</v>
      </c>
      <c r="I9" s="1">
        <f t="shared" si="29"/>
        <v>65.793999999999983</v>
      </c>
      <c r="J9" s="1">
        <f t="shared" si="29"/>
        <v>80.880999999999972</v>
      </c>
      <c r="K9" s="1">
        <f t="shared" si="29"/>
        <v>105.33899999999994</v>
      </c>
      <c r="S9" s="1">
        <f>+S4-S8</f>
        <v>-161.20100000000025</v>
      </c>
      <c r="T9" s="1">
        <f t="shared" ref="T9" si="30">+T4-T8</f>
        <v>119.96600000000035</v>
      </c>
      <c r="U9" s="1">
        <f t="shared" ref="U9" si="31">+U4-U8</f>
        <v>374.02708600000051</v>
      </c>
      <c r="V9" s="1">
        <f t="shared" ref="V9" si="32">+V4-V8</f>
        <v>637.03025649999995</v>
      </c>
      <c r="W9" s="1">
        <f t="shared" ref="W9" si="33">+W4-W8</f>
        <v>945.69087580299947</v>
      </c>
      <c r="X9" s="1">
        <f t="shared" ref="X9" si="34">+X4-X8</f>
        <v>1307.0437704262899</v>
      </c>
      <c r="Y9" s="1">
        <f t="shared" ref="Y9" si="35">+Y4-Y8</f>
        <v>1729.1845771406574</v>
      </c>
      <c r="Z9" s="1">
        <f t="shared" ref="Z9" si="36">+Z4-Z8</f>
        <v>2221.4290320966948</v>
      </c>
      <c r="AA9" s="1">
        <f t="shared" ref="AA9" si="37">+AA4-AA8</f>
        <v>2794.4961583476843</v>
      </c>
      <c r="AB9" s="1">
        <f t="shared" ref="AB9" si="38">+AB4-AB8</f>
        <v>3460.7189366794169</v>
      </c>
      <c r="AC9" s="1">
        <f t="shared" ref="AC9" si="39">+AC4-AC8</f>
        <v>4234.2865823982966</v>
      </c>
      <c r="AD9" s="1">
        <f t="shared" ref="AD9" si="40">+AD4-AD8</f>
        <v>5131.5231691315184</v>
      </c>
      <c r="AE9" s="1">
        <f t="shared" ref="AE9" si="41">+AE4-AE8</f>
        <v>6171.2080518559269</v>
      </c>
      <c r="AF9" s="1">
        <f t="shared" ref="AF9" si="42">+AF4-AF8</f>
        <v>7374.9443592096377</v>
      </c>
      <c r="AG9" s="1">
        <f t="shared" ref="AG9" si="43">+AG4-AG8</f>
        <v>8767.582765653664</v>
      </c>
      <c r="AH9" s="1">
        <f t="shared" ref="AH9" si="44">+AH4-AH8</f>
        <v>10377.70883564117</v>
      </c>
      <c r="AI9" s="1">
        <f t="shared" ref="AI9" si="45">+AI4-AI8</f>
        <v>12238.203475780987</v>
      </c>
      <c r="AJ9" s="1">
        <f t="shared" ref="AJ9" si="46">+AJ4-AJ8</f>
        <v>14386.887461385588</v>
      </c>
      <c r="AK9" s="1">
        <f t="shared" ref="AK9" si="47">+AK4-AK8</f>
        <v>16867.262648757998</v>
      </c>
    </row>
    <row r="10" spans="1:65">
      <c r="A10" t="s">
        <v>26</v>
      </c>
      <c r="B10">
        <f>0.547-0.594-59.87</f>
        <v>-59.916999999999994</v>
      </c>
      <c r="C10">
        <f>1.472-0.67-135.798</f>
        <v>-134.99600000000001</v>
      </c>
      <c r="D10">
        <f>5.54-1.082-65.046</f>
        <v>-60.588000000000008</v>
      </c>
      <c r="E10">
        <f>12.75-1.712+44.637</f>
        <v>55.674999999999997</v>
      </c>
      <c r="F10">
        <f>20.853-4.136</f>
        <v>16.717000000000002</v>
      </c>
      <c r="G10">
        <f>30.31-10.341</f>
        <v>19.969000000000001</v>
      </c>
      <c r="H10">
        <f>36.864-0.742+3.864</f>
        <v>39.985999999999997</v>
      </c>
      <c r="I10">
        <f>44.545-0.136-3.956</f>
        <v>40.452999999999996</v>
      </c>
      <c r="J10">
        <f>43.352-13.507</f>
        <v>29.844999999999999</v>
      </c>
      <c r="K10">
        <f>46.593-11.173</f>
        <v>35.42</v>
      </c>
      <c r="S10">
        <f t="shared" ref="S10:S12" si="48">SUM(B10:E10)</f>
        <v>-199.82600000000002</v>
      </c>
      <c r="T10">
        <f t="shared" ref="T10:T12" si="49">SUM(F10:I10)</f>
        <v>117.125</v>
      </c>
      <c r="U10">
        <f>+T26*0.01</f>
        <v>39.984590000000004</v>
      </c>
      <c r="V10">
        <f t="shared" ref="V10:AK10" si="50">+U26*0.01</f>
        <v>43.296683408000007</v>
      </c>
      <c r="W10">
        <f t="shared" si="50"/>
        <v>48.739298927264009</v>
      </c>
      <c r="X10">
        <f t="shared" si="50"/>
        <v>56.694740325106117</v>
      </c>
      <c r="Y10">
        <f t="shared" si="50"/>
        <v>67.604648411117282</v>
      </c>
      <c r="Z10">
        <f t="shared" si="50"/>
        <v>81.978962215531482</v>
      </c>
      <c r="AA10">
        <f t="shared" si="50"/>
        <v>100.4062261700293</v>
      </c>
      <c r="AB10">
        <f t="shared" si="50"/>
        <v>123.56544524617101</v>
      </c>
      <c r="AC10">
        <f t="shared" si="50"/>
        <v>152.23972030157572</v>
      </c>
      <c r="AD10">
        <f t="shared" si="50"/>
        <v>187.33193072317468</v>
      </c>
      <c r="AE10">
        <f t="shared" si="50"/>
        <v>229.88277152201221</v>
      </c>
      <c r="AF10">
        <f t="shared" si="50"/>
        <v>281.09149810903574</v>
      </c>
      <c r="AG10">
        <f t="shared" si="50"/>
        <v>342.3397849675851</v>
      </c>
      <c r="AH10">
        <f t="shared" si="50"/>
        <v>415.2191653725551</v>
      </c>
      <c r="AI10">
        <f t="shared" si="50"/>
        <v>501.56258938066486</v>
      </c>
      <c r="AJ10">
        <f t="shared" si="50"/>
        <v>603.48071790195809</v>
      </c>
      <c r="AK10">
        <f t="shared" si="50"/>
        <v>723.40366333625843</v>
      </c>
    </row>
    <row r="11" spans="1:65">
      <c r="A11" t="s">
        <v>27</v>
      </c>
      <c r="B11">
        <f t="shared" ref="B11:K11" si="51">+B9+B10</f>
        <v>-99.356000000000023</v>
      </c>
      <c r="C11">
        <f t="shared" si="51"/>
        <v>-176.74100000000001</v>
      </c>
      <c r="D11">
        <f t="shared" si="51"/>
        <v>-122.77900000000004</v>
      </c>
      <c r="E11">
        <f t="shared" si="51"/>
        <v>37.848999999999975</v>
      </c>
      <c r="F11">
        <f t="shared" si="51"/>
        <v>20.832000000000068</v>
      </c>
      <c r="G11">
        <f t="shared" si="51"/>
        <v>30.042999999999957</v>
      </c>
      <c r="H11">
        <f t="shared" si="51"/>
        <v>79.968999999999937</v>
      </c>
      <c r="I11">
        <f t="shared" si="51"/>
        <v>106.24699999999999</v>
      </c>
      <c r="J11">
        <f t="shared" si="51"/>
        <v>110.72599999999997</v>
      </c>
      <c r="K11">
        <f t="shared" si="51"/>
        <v>140.75899999999996</v>
      </c>
      <c r="S11">
        <f>+S9+S10</f>
        <v>-361.02700000000027</v>
      </c>
      <c r="T11">
        <f>+T9+T10</f>
        <v>237.09100000000035</v>
      </c>
      <c r="U11">
        <f t="shared" ref="U11:AK11" si="52">+U9+U10</f>
        <v>414.01167600000053</v>
      </c>
      <c r="V11">
        <f t="shared" si="52"/>
        <v>680.32693990799999</v>
      </c>
      <c r="W11">
        <f t="shared" si="52"/>
        <v>994.4301747302635</v>
      </c>
      <c r="X11">
        <f t="shared" si="52"/>
        <v>1363.738510751396</v>
      </c>
      <c r="Y11">
        <f t="shared" si="52"/>
        <v>1796.7892255517747</v>
      </c>
      <c r="Z11">
        <f t="shared" si="52"/>
        <v>2303.407994312226</v>
      </c>
      <c r="AA11">
        <f t="shared" si="52"/>
        <v>2894.9023845177135</v>
      </c>
      <c r="AB11">
        <f t="shared" si="52"/>
        <v>3584.2843819255877</v>
      </c>
      <c r="AC11">
        <f t="shared" si="52"/>
        <v>4386.5263026998718</v>
      </c>
      <c r="AD11">
        <f t="shared" si="52"/>
        <v>5318.8550998546934</v>
      </c>
      <c r="AE11">
        <f t="shared" si="52"/>
        <v>6401.0908233779392</v>
      </c>
      <c r="AF11">
        <f t="shared" si="52"/>
        <v>7656.0358573186732</v>
      </c>
      <c r="AG11">
        <f t="shared" si="52"/>
        <v>9109.9225506212497</v>
      </c>
      <c r="AH11">
        <f t="shared" si="52"/>
        <v>10792.928001013724</v>
      </c>
      <c r="AI11">
        <f t="shared" si="52"/>
        <v>12739.766065161652</v>
      </c>
      <c r="AJ11">
        <f t="shared" si="52"/>
        <v>14990.368179287547</v>
      </c>
      <c r="AK11">
        <f t="shared" si="52"/>
        <v>17590.666312094258</v>
      </c>
    </row>
    <row r="12" spans="1:65">
      <c r="A12" t="s">
        <v>28</v>
      </c>
      <c r="B12">
        <v>2.0230000000000001</v>
      </c>
      <c r="C12">
        <v>2.5880000000000001</v>
      </c>
      <c r="D12">
        <v>1.0960000000000001</v>
      </c>
      <c r="E12">
        <v>4.3600000000000003</v>
      </c>
      <c r="F12">
        <v>1.681</v>
      </c>
      <c r="G12">
        <v>2.1709999999999998</v>
      </c>
      <c r="H12">
        <v>6.53</v>
      </c>
      <c r="I12">
        <v>9.3339999999999996</v>
      </c>
      <c r="J12">
        <v>4.6550000000000002</v>
      </c>
      <c r="K12">
        <v>5.1890000000000001</v>
      </c>
      <c r="S12">
        <f t="shared" si="48"/>
        <v>10.067</v>
      </c>
      <c r="T12">
        <f t="shared" si="49"/>
        <v>19.716000000000001</v>
      </c>
      <c r="U12">
        <f>+U11*0.2</f>
        <v>82.802335200000115</v>
      </c>
      <c r="V12">
        <f t="shared" ref="V12:AK12" si="53">+V11*0.2</f>
        <v>136.0653879816</v>
      </c>
      <c r="W12">
        <f t="shared" si="53"/>
        <v>198.88603494605272</v>
      </c>
      <c r="X12">
        <f t="shared" si="53"/>
        <v>272.74770215027922</v>
      </c>
      <c r="Y12">
        <f t="shared" si="53"/>
        <v>359.35784511035496</v>
      </c>
      <c r="Z12">
        <f t="shared" si="53"/>
        <v>460.68159886244524</v>
      </c>
      <c r="AA12">
        <f t="shared" si="53"/>
        <v>578.98047690354269</v>
      </c>
      <c r="AB12">
        <f t="shared" si="53"/>
        <v>716.85687638511763</v>
      </c>
      <c r="AC12">
        <f t="shared" si="53"/>
        <v>877.30526053997437</v>
      </c>
      <c r="AD12">
        <f t="shared" si="53"/>
        <v>1063.7710199709388</v>
      </c>
      <c r="AE12">
        <f t="shared" si="53"/>
        <v>1280.218164675588</v>
      </c>
      <c r="AF12">
        <f t="shared" si="53"/>
        <v>1531.2071714637348</v>
      </c>
      <c r="AG12">
        <f t="shared" si="53"/>
        <v>1821.9845101242499</v>
      </c>
      <c r="AH12">
        <f t="shared" si="53"/>
        <v>2158.5856002027449</v>
      </c>
      <c r="AI12">
        <f t="shared" si="53"/>
        <v>2547.9532130323305</v>
      </c>
      <c r="AJ12">
        <f t="shared" si="53"/>
        <v>2998.0736358575095</v>
      </c>
      <c r="AK12">
        <f t="shared" si="53"/>
        <v>3518.1332624188517</v>
      </c>
    </row>
    <row r="13" spans="1:65" s="1" customFormat="1">
      <c r="A13" s="1" t="s">
        <v>29</v>
      </c>
      <c r="B13" s="1">
        <f t="shared" ref="B13:K13" si="54">+B11-B12</f>
        <v>-101.37900000000002</v>
      </c>
      <c r="C13" s="1">
        <f t="shared" si="54"/>
        <v>-179.32900000000001</v>
      </c>
      <c r="D13" s="1">
        <f t="shared" si="54"/>
        <v>-123.87500000000004</v>
      </c>
      <c r="E13" s="1">
        <f t="shared" si="54"/>
        <v>33.488999999999976</v>
      </c>
      <c r="F13" s="1">
        <f t="shared" si="54"/>
        <v>19.151000000000067</v>
      </c>
      <c r="G13" s="1">
        <f t="shared" si="54"/>
        <v>27.871999999999957</v>
      </c>
      <c r="H13" s="1">
        <f t="shared" si="54"/>
        <v>73.438999999999936</v>
      </c>
      <c r="I13" s="1">
        <f t="shared" si="54"/>
        <v>96.912999999999982</v>
      </c>
      <c r="J13" s="1">
        <f t="shared" si="54"/>
        <v>106.07099999999997</v>
      </c>
      <c r="K13" s="1">
        <f t="shared" si="54"/>
        <v>135.56999999999996</v>
      </c>
      <c r="S13" s="1">
        <f>+S11-S12</f>
        <v>-371.09400000000028</v>
      </c>
      <c r="T13" s="1">
        <f>+T11-T12</f>
        <v>217.37500000000034</v>
      </c>
      <c r="U13" s="1">
        <f>+U11-U12</f>
        <v>331.2093408000004</v>
      </c>
      <c r="V13" s="1">
        <f t="shared" ref="V13:AK13" si="55">+V11-V12</f>
        <v>544.26155192639999</v>
      </c>
      <c r="W13" s="1">
        <f t="shared" si="55"/>
        <v>795.54413978421076</v>
      </c>
      <c r="X13" s="1">
        <f t="shared" si="55"/>
        <v>1090.9908086011169</v>
      </c>
      <c r="Y13" s="1">
        <f t="shared" si="55"/>
        <v>1437.4313804414198</v>
      </c>
      <c r="Z13" s="1">
        <f t="shared" si="55"/>
        <v>1842.7263954497807</v>
      </c>
      <c r="AA13" s="1">
        <f t="shared" si="55"/>
        <v>2315.9219076141708</v>
      </c>
      <c r="AB13" s="1">
        <f t="shared" si="55"/>
        <v>2867.4275055404701</v>
      </c>
      <c r="AC13" s="1">
        <f t="shared" si="55"/>
        <v>3509.2210421598975</v>
      </c>
      <c r="AD13" s="1">
        <f t="shared" si="55"/>
        <v>4255.0840798837544</v>
      </c>
      <c r="AE13" s="1">
        <f t="shared" si="55"/>
        <v>5120.8726587023511</v>
      </c>
      <c r="AF13" s="1">
        <f t="shared" si="55"/>
        <v>6124.8286858549382</v>
      </c>
      <c r="AG13" s="1">
        <f t="shared" si="55"/>
        <v>7287.9380404969997</v>
      </c>
      <c r="AH13" s="1">
        <f t="shared" si="55"/>
        <v>8634.3424008109796</v>
      </c>
      <c r="AI13" s="1">
        <f t="shared" si="55"/>
        <v>10191.812852129322</v>
      </c>
      <c r="AJ13" s="1">
        <f t="shared" si="55"/>
        <v>11992.294543430038</v>
      </c>
      <c r="AK13" s="1">
        <f t="shared" si="55"/>
        <v>14072.533049675407</v>
      </c>
      <c r="AL13" s="1">
        <f>+AK13*(1-$N$18)</f>
        <v>13931.807719178652</v>
      </c>
      <c r="AM13" s="1">
        <f t="shared" ref="AM13:BM13" si="56">+AL13*(1-$N$18)</f>
        <v>13792.489641986866</v>
      </c>
      <c r="AN13" s="1">
        <f t="shared" si="56"/>
        <v>13654.564745566997</v>
      </c>
      <c r="AO13" s="1">
        <f t="shared" si="56"/>
        <v>13518.019098111326</v>
      </c>
      <c r="AP13" s="1">
        <f t="shared" si="56"/>
        <v>13382.838907130214</v>
      </c>
      <c r="AQ13" s="1">
        <f t="shared" si="56"/>
        <v>13249.010518058911</v>
      </c>
      <c r="AR13" s="1">
        <f t="shared" si="56"/>
        <v>13116.520412878321</v>
      </c>
      <c r="AS13" s="1">
        <f t="shared" si="56"/>
        <v>12985.355208749537</v>
      </c>
      <c r="AT13" s="1">
        <f t="shared" si="56"/>
        <v>12855.501656662042</v>
      </c>
      <c r="AU13" s="1">
        <f t="shared" si="56"/>
        <v>12726.946640095421</v>
      </c>
      <c r="AV13" s="1">
        <f t="shared" si="56"/>
        <v>12599.677173694467</v>
      </c>
      <c r="AW13" s="1">
        <f t="shared" si="56"/>
        <v>12473.680401957521</v>
      </c>
      <c r="AX13" s="1">
        <f t="shared" si="56"/>
        <v>12348.943597937945</v>
      </c>
      <c r="AY13" s="1">
        <f t="shared" si="56"/>
        <v>12225.454161958565</v>
      </c>
      <c r="AZ13" s="1">
        <f t="shared" si="56"/>
        <v>12103.199620338979</v>
      </c>
      <c r="BA13" s="1">
        <f t="shared" si="56"/>
        <v>11982.167624135589</v>
      </c>
      <c r="BB13" s="1">
        <f t="shared" si="56"/>
        <v>11862.345947894233</v>
      </c>
      <c r="BC13" s="1">
        <f t="shared" si="56"/>
        <v>11743.722488415291</v>
      </c>
      <c r="BD13" s="1">
        <f t="shared" si="56"/>
        <v>11626.285263531137</v>
      </c>
      <c r="BE13" s="1">
        <f t="shared" si="56"/>
        <v>11510.022410895826</v>
      </c>
      <c r="BF13" s="1">
        <f t="shared" si="56"/>
        <v>11394.922186786867</v>
      </c>
      <c r="BG13" s="1">
        <f t="shared" si="56"/>
        <v>11280.972964918999</v>
      </c>
      <c r="BH13" s="1">
        <f t="shared" si="56"/>
        <v>11168.163235269809</v>
      </c>
      <c r="BI13" s="1">
        <f t="shared" si="56"/>
        <v>11056.481602917111</v>
      </c>
      <c r="BJ13" s="1">
        <f t="shared" si="56"/>
        <v>10945.916786887939</v>
      </c>
      <c r="BK13" s="1">
        <f t="shared" si="56"/>
        <v>10836.45761901906</v>
      </c>
      <c r="BL13" s="1">
        <f t="shared" si="56"/>
        <v>10728.09304282887</v>
      </c>
      <c r="BM13" s="1">
        <f t="shared" si="56"/>
        <v>10620.812112400581</v>
      </c>
    </row>
    <row r="14" spans="1:65">
      <c r="A14" t="s">
        <v>30</v>
      </c>
      <c r="B14" s="5">
        <f t="shared" ref="B14:K14" si="57">+B13/B15</f>
        <v>-4.9785715022341928E-2</v>
      </c>
      <c r="C14" s="5">
        <f t="shared" si="57"/>
        <v>-8.7273256410967698E-2</v>
      </c>
      <c r="D14" s="5">
        <f t="shared" si="57"/>
        <v>-5.9748753777254741E-2</v>
      </c>
      <c r="E14" s="5">
        <f t="shared" si="57"/>
        <v>1.6022624679023597E-2</v>
      </c>
      <c r="F14" s="5">
        <f t="shared" si="57"/>
        <v>9.0858628509617057E-3</v>
      </c>
      <c r="G14" s="5">
        <f t="shared" si="57"/>
        <v>1.3077930804082516E-2</v>
      </c>
      <c r="H14" s="5">
        <f t="shared" si="57"/>
        <v>3.3959760095813668E-2</v>
      </c>
      <c r="I14" s="5">
        <f t="shared" si="57"/>
        <v>4.4308878783694682E-2</v>
      </c>
      <c r="J14" s="5">
        <f t="shared" si="57"/>
        <v>4.7919061957177274E-2</v>
      </c>
      <c r="K14" s="5">
        <f t="shared" si="57"/>
        <v>6.0750352214920991E-2</v>
      </c>
      <c r="S14">
        <f>+S13/S15</f>
        <v>-0.17982675585300503</v>
      </c>
      <c r="T14">
        <f>+T13/T15</f>
        <v>0.10123710696832661</v>
      </c>
      <c r="U14">
        <f>+U13/U15</f>
        <v>0.15425267608270746</v>
      </c>
      <c r="V14">
        <f t="shared" ref="V14:AK14" si="58">+V13/V15</f>
        <v>0.25347654951636717</v>
      </c>
      <c r="W14">
        <f t="shared" si="58"/>
        <v>0.37050528891252166</v>
      </c>
      <c r="X14">
        <f t="shared" si="58"/>
        <v>0.50810237236026334</v>
      </c>
      <c r="Y14">
        <f t="shared" si="58"/>
        <v>0.66944862298505892</v>
      </c>
      <c r="Z14">
        <f t="shared" si="58"/>
        <v>0.85820489573091696</v>
      </c>
      <c r="AA14">
        <f t="shared" si="58"/>
        <v>1.0785841697132901</v>
      </c>
      <c r="AB14">
        <f t="shared" si="58"/>
        <v>1.3354344570549606</v>
      </c>
      <c r="AC14">
        <f t="shared" si="58"/>
        <v>1.6343341507562672</v>
      </c>
      <c r="AD14">
        <f t="shared" si="58"/>
        <v>1.9817016775361223</v>
      </c>
      <c r="AE14">
        <f t="shared" si="58"/>
        <v>2.38492160147316</v>
      </c>
      <c r="AF14">
        <f t="shared" si="58"/>
        <v>2.8524896461532867</v>
      </c>
      <c r="AG14">
        <f t="shared" si="58"/>
        <v>3.3941794731884083</v>
      </c>
      <c r="AH14">
        <f t="shared" si="58"/>
        <v>4.021234480653515</v>
      </c>
      <c r="AI14">
        <f t="shared" si="58"/>
        <v>4.7465883745241193</v>
      </c>
      <c r="AJ14">
        <f t="shared" si="58"/>
        <v>5.5851188291611473</v>
      </c>
      <c r="AK14">
        <f t="shared" si="58"/>
        <v>6.5539392003003947</v>
      </c>
    </row>
    <row r="15" spans="1:65">
      <c r="A15" t="s">
        <v>2</v>
      </c>
      <c r="B15">
        <v>2036.307</v>
      </c>
      <c r="C15">
        <v>2054.799</v>
      </c>
      <c r="D15">
        <v>2073.2649999999999</v>
      </c>
      <c r="E15">
        <v>2090.107</v>
      </c>
      <c r="F15">
        <v>2107.7800000000002</v>
      </c>
      <c r="G15">
        <v>2131.2240000000002</v>
      </c>
      <c r="H15">
        <v>2162.5300000000002</v>
      </c>
      <c r="I15">
        <v>2187.2139999999999</v>
      </c>
      <c r="J15">
        <v>2213.5450000000001</v>
      </c>
      <c r="K15">
        <v>2231.5920000000001</v>
      </c>
      <c r="S15">
        <f>AVERAGE(B15:E15)</f>
        <v>2063.6194999999998</v>
      </c>
      <c r="T15">
        <f>AVERAGE(F15:I15)</f>
        <v>2147.1870000000004</v>
      </c>
      <c r="U15">
        <f>+T15</f>
        <v>2147.1870000000004</v>
      </c>
      <c r="V15">
        <f t="shared" ref="V15:AK15" si="59">+U15</f>
        <v>2147.1870000000004</v>
      </c>
      <c r="W15">
        <f t="shared" si="59"/>
        <v>2147.1870000000004</v>
      </c>
      <c r="X15">
        <f t="shared" si="59"/>
        <v>2147.1870000000004</v>
      </c>
      <c r="Y15">
        <f t="shared" si="59"/>
        <v>2147.1870000000004</v>
      </c>
      <c r="Z15">
        <f t="shared" si="59"/>
        <v>2147.1870000000004</v>
      </c>
      <c r="AA15">
        <f t="shared" si="59"/>
        <v>2147.1870000000004</v>
      </c>
      <c r="AB15">
        <f t="shared" si="59"/>
        <v>2147.1870000000004</v>
      </c>
      <c r="AC15">
        <f t="shared" si="59"/>
        <v>2147.1870000000004</v>
      </c>
      <c r="AD15">
        <f t="shared" si="59"/>
        <v>2147.1870000000004</v>
      </c>
      <c r="AE15">
        <f t="shared" si="59"/>
        <v>2147.1870000000004</v>
      </c>
      <c r="AF15">
        <f t="shared" si="59"/>
        <v>2147.1870000000004</v>
      </c>
      <c r="AG15">
        <f t="shared" si="59"/>
        <v>2147.1870000000004</v>
      </c>
      <c r="AH15">
        <f t="shared" si="59"/>
        <v>2147.1870000000004</v>
      </c>
      <c r="AI15">
        <f t="shared" si="59"/>
        <v>2147.1870000000004</v>
      </c>
      <c r="AJ15">
        <f t="shared" si="59"/>
        <v>2147.1870000000004</v>
      </c>
      <c r="AK15">
        <f t="shared" si="59"/>
        <v>2147.1870000000004</v>
      </c>
    </row>
    <row r="16" spans="1:65">
      <c r="K16"/>
    </row>
    <row r="17" spans="1:37">
      <c r="A17" t="s">
        <v>31</v>
      </c>
      <c r="F17" s="6">
        <f t="shared" ref="F17:J17" si="60">+F2/B2-1</f>
        <v>0.1766052733574246</v>
      </c>
      <c r="G17" s="6">
        <f t="shared" si="60"/>
        <v>0.12749624743662924</v>
      </c>
      <c r="H17" s="6">
        <f t="shared" si="60"/>
        <v>0.16798987193437687</v>
      </c>
      <c r="I17" s="6">
        <f t="shared" si="60"/>
        <v>0.19607018150932709</v>
      </c>
      <c r="J17" s="6">
        <f t="shared" si="60"/>
        <v>0.20783493847893864</v>
      </c>
      <c r="K17" s="6">
        <f>+K2/G2-1</f>
        <v>0.2715401909183468</v>
      </c>
      <c r="T17" s="6">
        <f>+T2/S2-1</f>
        <v>0.16745152216493153</v>
      </c>
      <c r="U17" s="6">
        <f t="shared" ref="U17:AK17" si="61">+U2/T2-1</f>
        <v>0.14999999999999991</v>
      </c>
      <c r="V17" s="6">
        <f t="shared" si="61"/>
        <v>0.14999999999999991</v>
      </c>
      <c r="W17" s="6">
        <f t="shared" si="61"/>
        <v>0.14999999999999991</v>
      </c>
      <c r="X17" s="6">
        <f t="shared" si="61"/>
        <v>0.14999999999999991</v>
      </c>
      <c r="Y17" s="6">
        <f t="shared" si="61"/>
        <v>0.14999999999999991</v>
      </c>
      <c r="Z17" s="6">
        <f t="shared" si="61"/>
        <v>0.14999999999999991</v>
      </c>
      <c r="AA17" s="6">
        <f t="shared" si="61"/>
        <v>0.14999999999999991</v>
      </c>
      <c r="AB17" s="6">
        <f t="shared" si="61"/>
        <v>0.14999999999999991</v>
      </c>
      <c r="AC17" s="6">
        <f t="shared" si="61"/>
        <v>0.14999999999999991</v>
      </c>
      <c r="AD17" s="6">
        <f t="shared" si="61"/>
        <v>0.14999999999999991</v>
      </c>
      <c r="AE17" s="6">
        <f t="shared" si="61"/>
        <v>0.14999999999999991</v>
      </c>
      <c r="AF17" s="6">
        <f t="shared" si="61"/>
        <v>0.14999999999999991</v>
      </c>
      <c r="AG17" s="6">
        <f t="shared" si="61"/>
        <v>0.14999999999999991</v>
      </c>
      <c r="AH17" s="6">
        <f t="shared" si="61"/>
        <v>0.14999999999999991</v>
      </c>
      <c r="AI17" s="6">
        <f t="shared" si="61"/>
        <v>0.14999999999999969</v>
      </c>
      <c r="AJ17" s="6">
        <f t="shared" si="61"/>
        <v>0.14999999999999991</v>
      </c>
      <c r="AK17" s="6">
        <f t="shared" si="61"/>
        <v>0.14999999999999991</v>
      </c>
    </row>
    <row r="18" spans="1:37">
      <c r="I18" t="s">
        <v>17</v>
      </c>
      <c r="J18" t="s">
        <v>17</v>
      </c>
      <c r="K18"/>
      <c r="M18" t="s">
        <v>32</v>
      </c>
      <c r="N18" s="6">
        <v>0.01</v>
      </c>
    </row>
    <row r="19" spans="1:37">
      <c r="A19" t="s">
        <v>33</v>
      </c>
      <c r="B19" s="6">
        <f t="shared" ref="B19:J22" si="62">+B4/B$2</f>
        <v>0.78850337286073702</v>
      </c>
      <c r="C19" s="6">
        <f t="shared" si="62"/>
        <v>0.78388617576795416</v>
      </c>
      <c r="D19" s="6">
        <f t="shared" si="62"/>
        <v>0.77481585335230607</v>
      </c>
      <c r="E19" s="6">
        <f t="shared" si="62"/>
        <v>0.79491530089024498</v>
      </c>
      <c r="F19" s="6">
        <f t="shared" si="62"/>
        <v>0.79503452110299977</v>
      </c>
      <c r="G19" s="6">
        <f t="shared" si="62"/>
        <v>0.79955823647099189</v>
      </c>
      <c r="H19" s="6">
        <f t="shared" si="62"/>
        <v>0.80664649320354953</v>
      </c>
      <c r="I19" s="6">
        <f t="shared" si="62"/>
        <v>0.82142023506205308</v>
      </c>
      <c r="J19" s="6">
        <f t="shared" si="62"/>
        <v>0.81672862101907817</v>
      </c>
      <c r="K19" s="6">
        <f>+K4/K$2</f>
        <v>0.81041799998230435</v>
      </c>
      <c r="M19" t="s">
        <v>34</v>
      </c>
      <c r="N19" s="6">
        <v>0.01</v>
      </c>
      <c r="S19" s="6">
        <f t="shared" ref="S19:T22" si="63">+S4/S$2</f>
        <v>0.78563659345254744</v>
      </c>
      <c r="T19" s="6">
        <f t="shared" si="63"/>
        <v>0.80624598878567844</v>
      </c>
      <c r="U19" s="6">
        <f t="shared" ref="U19:AK19" si="64">+U4/U$2</f>
        <v>0.82000000000000006</v>
      </c>
      <c r="V19" s="6">
        <f t="shared" si="64"/>
        <v>0.82</v>
      </c>
      <c r="W19" s="6">
        <f t="shared" si="64"/>
        <v>0.82</v>
      </c>
      <c r="X19" s="6">
        <f t="shared" si="64"/>
        <v>0.82000000000000006</v>
      </c>
      <c r="Y19" s="6">
        <f t="shared" si="64"/>
        <v>0.82000000000000006</v>
      </c>
      <c r="Z19" s="6">
        <f t="shared" si="64"/>
        <v>0.82000000000000006</v>
      </c>
      <c r="AA19" s="6">
        <f t="shared" si="64"/>
        <v>0.82000000000000006</v>
      </c>
      <c r="AB19" s="6">
        <f t="shared" si="64"/>
        <v>0.82000000000000006</v>
      </c>
      <c r="AC19" s="6">
        <f t="shared" si="64"/>
        <v>0.82</v>
      </c>
      <c r="AD19" s="6">
        <f t="shared" si="64"/>
        <v>0.82000000000000006</v>
      </c>
      <c r="AE19" s="6">
        <f t="shared" si="64"/>
        <v>0.82000000000000006</v>
      </c>
      <c r="AF19" s="6">
        <f t="shared" si="64"/>
        <v>0.82000000000000006</v>
      </c>
      <c r="AG19" s="6">
        <f t="shared" si="64"/>
        <v>0.82000000000000006</v>
      </c>
      <c r="AH19" s="6">
        <f t="shared" si="64"/>
        <v>0.82</v>
      </c>
      <c r="AI19" s="6">
        <f t="shared" si="64"/>
        <v>0.82</v>
      </c>
      <c r="AJ19" s="6">
        <f t="shared" si="64"/>
        <v>0.82000000000000006</v>
      </c>
      <c r="AK19" s="6">
        <f t="shared" si="64"/>
        <v>0.82000000000000006</v>
      </c>
    </row>
    <row r="20" spans="1:37">
      <c r="A20" t="s">
        <v>35</v>
      </c>
      <c r="B20" s="6">
        <f t="shared" si="62"/>
        <v>0.35954404210082963</v>
      </c>
      <c r="C20" s="6">
        <f t="shared" si="62"/>
        <v>0.35702205027377859</v>
      </c>
      <c r="D20" s="6">
        <f t="shared" si="62"/>
        <v>0.38276973298736083</v>
      </c>
      <c r="E20" s="6">
        <f t="shared" si="62"/>
        <v>0.37401498946176348</v>
      </c>
      <c r="F20" s="6">
        <f t="shared" si="62"/>
        <v>0.35624140780599628</v>
      </c>
      <c r="G20" s="6">
        <f t="shared" si="62"/>
        <v>0.34531620030863447</v>
      </c>
      <c r="H20" s="6">
        <f t="shared" si="62"/>
        <v>0.31599060482765662</v>
      </c>
      <c r="I20" s="6">
        <f t="shared" si="62"/>
        <v>0.32442344045368621</v>
      </c>
      <c r="J20" s="6">
        <f t="shared" si="62"/>
        <v>0.30453322991843468</v>
      </c>
      <c r="K20" s="6">
        <f t="shared" ref="K20:K22" si="65">+K5/K$2</f>
        <v>0.29022140166987642</v>
      </c>
      <c r="M20" t="s">
        <v>36</v>
      </c>
      <c r="N20" s="6">
        <v>0.15</v>
      </c>
      <c r="S20" s="6">
        <f t="shared" si="63"/>
        <v>0.36860364631184378</v>
      </c>
      <c r="T20" s="6">
        <f t="shared" si="63"/>
        <v>0.33482605936507304</v>
      </c>
      <c r="U20" s="6">
        <f t="shared" ref="U20:AK20" si="66">+U5/U$2</f>
        <v>0.29988768795306547</v>
      </c>
      <c r="V20" s="6">
        <f t="shared" si="66"/>
        <v>0.26859505964491948</v>
      </c>
      <c r="W20" s="6">
        <f t="shared" si="66"/>
        <v>0.24056774907327574</v>
      </c>
      <c r="X20" s="6">
        <f t="shared" si="66"/>
        <v>0.21546502743084697</v>
      </c>
      <c r="Y20" s="6">
        <f t="shared" si="66"/>
        <v>0.1929817202206717</v>
      </c>
      <c r="Z20" s="6">
        <f t="shared" si="66"/>
        <v>0.17284449724112336</v>
      </c>
      <c r="AA20" s="6">
        <f t="shared" si="66"/>
        <v>0.15480854970291918</v>
      </c>
      <c r="AB20" s="6">
        <f t="shared" si="66"/>
        <v>0.13865461408174504</v>
      </c>
      <c r="AC20" s="6">
        <f t="shared" si="66"/>
        <v>0.12418630652538903</v>
      </c>
      <c r="AD20" s="6">
        <f t="shared" si="66"/>
        <v>0.11122773540969627</v>
      </c>
      <c r="AE20" s="6">
        <f t="shared" si="66"/>
        <v>9.9621363019119266E-2</v>
      </c>
      <c r="AF20" s="6">
        <f t="shared" si="66"/>
        <v>8.9226090356254659E-2</v>
      </c>
      <c r="AG20" s="6">
        <f t="shared" si="66"/>
        <v>7.9915541797341144E-2</v>
      </c>
      <c r="AH20" s="6">
        <f t="shared" si="66"/>
        <v>7.1576528740227283E-2</v>
      </c>
      <c r="AI20" s="6">
        <f t="shared" si="66"/>
        <v>6.4107673567334017E-2</v>
      </c>
      <c r="AJ20" s="6">
        <f t="shared" si="66"/>
        <v>5.7418177195090465E-2</v>
      </c>
      <c r="AK20" s="6">
        <f t="shared" si="66"/>
        <v>5.1426715226907116E-2</v>
      </c>
    </row>
    <row r="21" spans="1:37">
      <c r="A21" t="s">
        <v>37</v>
      </c>
      <c r="B21" s="6">
        <f t="shared" si="62"/>
        <v>0.19849806320949373</v>
      </c>
      <c r="C21" s="6">
        <f t="shared" si="62"/>
        <v>0.18640409293672439</v>
      </c>
      <c r="D21" s="6">
        <f t="shared" si="62"/>
        <v>0.21106344689043274</v>
      </c>
      <c r="E21" s="6">
        <f t="shared" si="62"/>
        <v>0.16130579760294439</v>
      </c>
      <c r="F21" s="6">
        <f t="shared" si="62"/>
        <v>0.17155826697589041</v>
      </c>
      <c r="G21" s="6">
        <f t="shared" si="62"/>
        <v>0.18663009054652299</v>
      </c>
      <c r="H21" s="6">
        <f t="shared" si="62"/>
        <v>0.18938689513203227</v>
      </c>
      <c r="I21" s="6">
        <f t="shared" si="62"/>
        <v>0.17963836607216241</v>
      </c>
      <c r="J21" s="6">
        <f t="shared" si="62"/>
        <v>0.17347218675217316</v>
      </c>
      <c r="K21" s="6">
        <f t="shared" si="65"/>
        <v>0.16041224890655831</v>
      </c>
      <c r="M21" t="s">
        <v>38</v>
      </c>
      <c r="N21" s="6">
        <v>7.0000000000000007E-2</v>
      </c>
      <c r="S21" s="6">
        <f t="shared" si="63"/>
        <v>0.18872158713784931</v>
      </c>
      <c r="T21" s="6">
        <f t="shared" si="63"/>
        <v>0.18185250236852654</v>
      </c>
      <c r="U21" s="6">
        <f t="shared" ref="U21:AK21" si="67">+U6/U$2</f>
        <v>0.1628765890778977</v>
      </c>
      <c r="V21" s="6">
        <f t="shared" si="67"/>
        <v>0.14588077108716055</v>
      </c>
      <c r="W21" s="6">
        <f t="shared" si="67"/>
        <v>0.13065842975632644</v>
      </c>
      <c r="X21" s="6">
        <f t="shared" si="67"/>
        <v>0.11702450665131847</v>
      </c>
      <c r="Y21" s="6">
        <f t="shared" si="67"/>
        <v>0.10481325378335482</v>
      </c>
      <c r="Z21" s="6">
        <f t="shared" si="67"/>
        <v>9.3876218605961279E-2</v>
      </c>
      <c r="AA21" s="6">
        <f t="shared" si="67"/>
        <v>8.4080439273165317E-2</v>
      </c>
      <c r="AB21" s="6">
        <f t="shared" si="67"/>
        <v>7.5306828218574165E-2</v>
      </c>
      <c r="AC21" s="6">
        <f t="shared" si="67"/>
        <v>6.744872440446209E-2</v>
      </c>
      <c r="AD21" s="6">
        <f t="shared" si="67"/>
        <v>6.0410596640518233E-2</v>
      </c>
      <c r="AE21" s="6">
        <f t="shared" si="67"/>
        <v>5.4106882208464165E-2</v>
      </c>
      <c r="AF21" s="6">
        <f t="shared" si="67"/>
        <v>4.8460946673667911E-2</v>
      </c>
      <c r="AG21" s="6">
        <f t="shared" si="67"/>
        <v>4.340415223815474E-2</v>
      </c>
      <c r="AH21" s="6">
        <f t="shared" si="67"/>
        <v>3.8875023308955987E-2</v>
      </c>
      <c r="AI21" s="6">
        <f t="shared" si="67"/>
        <v>3.4818499137586674E-2</v>
      </c>
      <c r="AJ21" s="6">
        <f t="shared" si="67"/>
        <v>3.1185264444968941E-2</v>
      </c>
      <c r="AK21" s="6">
        <f t="shared" si="67"/>
        <v>2.7931149894189575E-2</v>
      </c>
    </row>
    <row r="22" spans="1:37">
      <c r="A22" t="s">
        <v>39</v>
      </c>
      <c r="B22" s="6">
        <f t="shared" si="62"/>
        <v>0.31881879302889837</v>
      </c>
      <c r="C22" s="6">
        <f t="shared" si="62"/>
        <v>0.32871398067694135</v>
      </c>
      <c r="D22" s="6">
        <f t="shared" si="62"/>
        <v>0.31112203900560809</v>
      </c>
      <c r="E22" s="6">
        <f t="shared" si="62"/>
        <v>0.29464201453332911</v>
      </c>
      <c r="F22" s="6">
        <f t="shared" si="62"/>
        <v>0.25939952702471125</v>
      </c>
      <c r="G22" s="6">
        <f t="shared" si="62"/>
        <v>0.24872261713014959</v>
      </c>
      <c r="H22" s="6">
        <f t="shared" si="62"/>
        <v>0.2296352831361673</v>
      </c>
      <c r="I22" s="6">
        <f t="shared" si="62"/>
        <v>0.2092068710446289</v>
      </c>
      <c r="J22" s="6">
        <f t="shared" si="62"/>
        <v>0.21121862477102116</v>
      </c>
      <c r="K22" s="6">
        <f t="shared" si="65"/>
        <v>0.20444779350393874</v>
      </c>
      <c r="M22" t="s">
        <v>40</v>
      </c>
      <c r="N22" s="7">
        <f>NPV(N21,U13:BM13)</f>
        <v>84311.416275897762</v>
      </c>
      <c r="R22" t="s">
        <v>17</v>
      </c>
      <c r="S22" s="6">
        <f t="shared" si="63"/>
        <v>0.31289263544069879</v>
      </c>
      <c r="T22" s="6">
        <f t="shared" si="63"/>
        <v>0.23565041446967472</v>
      </c>
      <c r="U22" s="6">
        <f t="shared" ref="U22:AK22" si="68">+U7/U$2</f>
        <v>0.21106080600327387</v>
      </c>
      <c r="V22" s="6">
        <f t="shared" si="68"/>
        <v>0.18903706972467141</v>
      </c>
      <c r="W22" s="6">
        <f t="shared" si="68"/>
        <v>0.16931146244905351</v>
      </c>
      <c r="X22" s="6">
        <f t="shared" si="68"/>
        <v>0.15164417941089145</v>
      </c>
      <c r="Y22" s="6">
        <f t="shared" si="68"/>
        <v>0.13582043895062454</v>
      </c>
      <c r="Z22" s="6">
        <f t="shared" si="68"/>
        <v>0.12164787140795068</v>
      </c>
      <c r="AA22" s="6">
        <f t="shared" si="68"/>
        <v>0.10895418047842539</v>
      </c>
      <c r="AB22" s="6">
        <f t="shared" si="68"/>
        <v>9.7585048602415791E-2</v>
      </c>
      <c r="AC22" s="6">
        <f t="shared" si="68"/>
        <v>8.740226092216373E-2</v>
      </c>
      <c r="AD22" s="6">
        <f t="shared" si="68"/>
        <v>7.8282024999850999E-2</v>
      </c>
      <c r="AE22" s="6">
        <f t="shared" si="68"/>
        <v>7.0113465869431763E-2</v>
      </c>
      <c r="AF22" s="6">
        <f t="shared" si="68"/>
        <v>6.2797278126534545E-2</v>
      </c>
      <c r="AG22" s="6">
        <f t="shared" si="68"/>
        <v>5.6244518669852687E-2</v>
      </c>
      <c r="AH22" s="6">
        <f t="shared" si="68"/>
        <v>5.0375525417346322E-2</v>
      </c>
      <c r="AI22" s="6">
        <f t="shared" si="68"/>
        <v>4.511894885205802E-2</v>
      </c>
      <c r="AJ22" s="6">
        <f t="shared" si="68"/>
        <v>4.0410884624017186E-2</v>
      </c>
      <c r="AK22" s="6">
        <f t="shared" si="68"/>
        <v>3.6194096663250186E-2</v>
      </c>
    </row>
    <row r="23" spans="1:37">
      <c r="A23" t="s">
        <v>41</v>
      </c>
      <c r="B23" s="6">
        <f t="shared" ref="B23:J23" si="69">+B9/B2</f>
        <v>-8.8357525478484758E-2</v>
      </c>
      <c r="C23" s="6">
        <f t="shared" si="69"/>
        <v>-8.8253948119490083E-2</v>
      </c>
      <c r="D23" s="6">
        <f t="shared" si="69"/>
        <v>-0.13013936553109573</v>
      </c>
      <c r="E23" s="6">
        <f t="shared" si="69"/>
        <v>-3.5047500707792043E-2</v>
      </c>
      <c r="F23" s="6">
        <f t="shared" si="69"/>
        <v>7.8353192964017802E-3</v>
      </c>
      <c r="G23" s="6">
        <f t="shared" si="69"/>
        <v>1.8889328485684791E-2</v>
      </c>
      <c r="H23" s="6">
        <f t="shared" si="69"/>
        <v>7.1633710107693233E-2</v>
      </c>
      <c r="I23" s="6">
        <f t="shared" si="69"/>
        <v>0.10815155749157554</v>
      </c>
      <c r="J23" s="6">
        <f t="shared" si="69"/>
        <v>0.12750457957744921</v>
      </c>
      <c r="K23" s="6">
        <f>+K9/K2</f>
        <v>0.1553365559019308</v>
      </c>
      <c r="M23" t="s">
        <v>42</v>
      </c>
      <c r="N23" s="8">
        <f>+N22-main!M5+main!M6</f>
        <v>80312.957275897759</v>
      </c>
      <c r="S23" s="6">
        <f t="shared" ref="S23:T23" si="70">+S9/S2</f>
        <v>-8.4581275437844564E-2</v>
      </c>
      <c r="T23" s="6">
        <f t="shared" si="70"/>
        <v>5.3917012582404202E-2</v>
      </c>
      <c r="U23" s="6">
        <f t="shared" ref="U23:AK23" si="71">+U9/U2</f>
        <v>0.1461749169657631</v>
      </c>
      <c r="V23" s="6">
        <f t="shared" si="71"/>
        <v>0.21648709954324849</v>
      </c>
      <c r="W23" s="6">
        <f t="shared" si="71"/>
        <v>0.27946235872134417</v>
      </c>
      <c r="X23" s="6">
        <f t="shared" si="71"/>
        <v>0.33586628650694317</v>
      </c>
      <c r="Y23" s="6">
        <f t="shared" si="71"/>
        <v>0.38638458704534895</v>
      </c>
      <c r="Z23" s="6">
        <f t="shared" si="71"/>
        <v>0.4316314127449648</v>
      </c>
      <c r="AA23" s="6">
        <f t="shared" si="71"/>
        <v>0.47215683054549012</v>
      </c>
      <c r="AB23" s="6">
        <f t="shared" si="71"/>
        <v>0.50845350909726506</v>
      </c>
      <c r="AC23" s="6">
        <f t="shared" si="71"/>
        <v>0.54096270814798508</v>
      </c>
      <c r="AD23" s="6">
        <f t="shared" si="71"/>
        <v>0.57007964294993452</v>
      </c>
      <c r="AE23" s="6">
        <f t="shared" si="71"/>
        <v>0.59615828890298483</v>
      </c>
      <c r="AF23" s="6">
        <f t="shared" si="71"/>
        <v>0.61951568484354302</v>
      </c>
      <c r="AG23" s="6">
        <f t="shared" si="71"/>
        <v>0.64043578729465145</v>
      </c>
      <c r="AH23" s="6">
        <f t="shared" si="71"/>
        <v>0.65917292253347026</v>
      </c>
      <c r="AI23" s="6">
        <f t="shared" si="71"/>
        <v>0.67595487844302127</v>
      </c>
      <c r="AJ23" s="6">
        <f t="shared" si="71"/>
        <v>0.69098567373592346</v>
      </c>
      <c r="AK23" s="6">
        <f t="shared" si="71"/>
        <v>0.70444803821565316</v>
      </c>
    </row>
    <row r="24" spans="1:37">
      <c r="A24" t="s">
        <v>43</v>
      </c>
      <c r="B24" s="6">
        <f t="shared" ref="B24:J24" si="72">+B12/B11</f>
        <v>-2.036112564918072E-2</v>
      </c>
      <c r="C24" s="6">
        <f t="shared" si="72"/>
        <v>-1.4642895536406379E-2</v>
      </c>
      <c r="D24" s="6">
        <f t="shared" si="72"/>
        <v>-8.9266079704183911E-3</v>
      </c>
      <c r="E24" s="6">
        <f t="shared" si="72"/>
        <v>0.1151945890248092</v>
      </c>
      <c r="F24" s="6">
        <f t="shared" si="72"/>
        <v>8.0693164362518943E-2</v>
      </c>
      <c r="G24" s="6">
        <f t="shared" si="72"/>
        <v>7.226308957161412E-2</v>
      </c>
      <c r="H24" s="6">
        <f t="shared" si="72"/>
        <v>8.1656641948755215E-2</v>
      </c>
      <c r="I24" s="6">
        <f t="shared" si="72"/>
        <v>8.7851892288723449E-2</v>
      </c>
      <c r="J24" s="6">
        <f t="shared" si="72"/>
        <v>4.2040713111644971E-2</v>
      </c>
      <c r="K24" s="6">
        <f>+K12/K11</f>
        <v>3.6864427851860282E-2</v>
      </c>
      <c r="M24" t="s">
        <v>44</v>
      </c>
      <c r="N24">
        <f>+N23/main!M3</f>
        <v>35.862743785873882</v>
      </c>
      <c r="S24" s="6">
        <f t="shared" ref="S24:T24" si="73">+S12/S11</f>
        <v>-2.7884341060363887E-2</v>
      </c>
      <c r="T24" s="6">
        <f t="shared" si="73"/>
        <v>8.3157943574408019E-2</v>
      </c>
      <c r="U24" s="6">
        <f t="shared" ref="U24:AK24" si="74">+U12/U11</f>
        <v>0.2</v>
      </c>
      <c r="V24" s="6">
        <f t="shared" si="74"/>
        <v>0.2</v>
      </c>
      <c r="W24" s="6">
        <f t="shared" si="74"/>
        <v>0.2</v>
      </c>
      <c r="X24" s="6">
        <f t="shared" si="74"/>
        <v>0.2</v>
      </c>
      <c r="Y24" s="6">
        <f t="shared" si="74"/>
        <v>0.2</v>
      </c>
      <c r="Z24" s="6">
        <f t="shared" si="74"/>
        <v>0.2</v>
      </c>
      <c r="AA24" s="6">
        <f t="shared" si="74"/>
        <v>0.2</v>
      </c>
      <c r="AB24" s="6">
        <f t="shared" si="74"/>
        <v>0.20000000000000004</v>
      </c>
      <c r="AC24" s="6">
        <f t="shared" si="74"/>
        <v>0.2</v>
      </c>
      <c r="AD24" s="6">
        <f t="shared" si="74"/>
        <v>0.20000000000000004</v>
      </c>
      <c r="AE24" s="6">
        <f t="shared" si="74"/>
        <v>0.20000000000000004</v>
      </c>
      <c r="AF24" s="6">
        <f t="shared" si="74"/>
        <v>0.2</v>
      </c>
      <c r="AG24" s="6">
        <f t="shared" si="74"/>
        <v>0.2</v>
      </c>
      <c r="AH24" s="6">
        <f t="shared" si="74"/>
        <v>0.2</v>
      </c>
      <c r="AI24" s="6">
        <f t="shared" si="74"/>
        <v>0.2</v>
      </c>
      <c r="AJ24" s="6">
        <f t="shared" si="74"/>
        <v>0.2</v>
      </c>
      <c r="AK24" s="6">
        <f t="shared" si="74"/>
        <v>0.2</v>
      </c>
    </row>
    <row r="25" spans="1:37">
      <c r="K25"/>
      <c r="M25" t="s">
        <v>45</v>
      </c>
      <c r="N25" s="6">
        <f>+N24/main!M2-1</f>
        <v>-0.12529893205185649</v>
      </c>
    </row>
    <row r="26" spans="1:37" s="1" customFormat="1">
      <c r="A26" s="1" t="s">
        <v>46</v>
      </c>
      <c r="K26" s="4">
        <f>+K27-K35</f>
        <v>3998.4590000000003</v>
      </c>
      <c r="T26" s="4">
        <f>+K26</f>
        <v>3998.4590000000003</v>
      </c>
      <c r="U26" s="4">
        <f>+T26+U13</f>
        <v>4329.6683408000008</v>
      </c>
      <c r="V26" s="4">
        <f t="shared" ref="V26:AK26" si="75">+U26+V13</f>
        <v>4873.9298927264008</v>
      </c>
      <c r="W26" s="4">
        <f t="shared" si="75"/>
        <v>5669.4740325106113</v>
      </c>
      <c r="X26" s="4">
        <f t="shared" si="75"/>
        <v>6760.4648411117287</v>
      </c>
      <c r="Y26" s="4">
        <f t="shared" si="75"/>
        <v>8197.8962215531483</v>
      </c>
      <c r="Z26" s="4">
        <f t="shared" si="75"/>
        <v>10040.622617002929</v>
      </c>
      <c r="AA26" s="4">
        <f t="shared" si="75"/>
        <v>12356.5445246171</v>
      </c>
      <c r="AB26" s="4">
        <f t="shared" si="75"/>
        <v>15223.972030157571</v>
      </c>
      <c r="AC26" s="4">
        <f t="shared" si="75"/>
        <v>18733.193072317466</v>
      </c>
      <c r="AD26" s="4">
        <f t="shared" si="75"/>
        <v>22988.277152201219</v>
      </c>
      <c r="AE26" s="4">
        <f t="shared" si="75"/>
        <v>28109.149810903571</v>
      </c>
      <c r="AF26" s="4">
        <f t="shared" si="75"/>
        <v>34233.978496758507</v>
      </c>
      <c r="AG26" s="4">
        <f t="shared" si="75"/>
        <v>41521.916537255507</v>
      </c>
      <c r="AH26" s="4">
        <f t="shared" si="75"/>
        <v>50156.258938066487</v>
      </c>
      <c r="AI26" s="4">
        <f t="shared" si="75"/>
        <v>60348.071790195812</v>
      </c>
      <c r="AJ26" s="4">
        <f t="shared" si="75"/>
        <v>72340.366333625847</v>
      </c>
      <c r="AK26" s="4">
        <f t="shared" si="75"/>
        <v>86412.89938330125</v>
      </c>
    </row>
    <row r="27" spans="1:37">
      <c r="A27" t="s">
        <v>4</v>
      </c>
      <c r="K27" s="3">
        <f>512.659+3485.8</f>
        <v>3998.4590000000003</v>
      </c>
    </row>
    <row r="28" spans="1:37">
      <c r="A28" t="s">
        <v>47</v>
      </c>
      <c r="K28" s="3">
        <v>659.33900000000006</v>
      </c>
    </row>
    <row r="29" spans="1:37">
      <c r="A29" t="s">
        <v>48</v>
      </c>
      <c r="K29" s="3">
        <v>115.712</v>
      </c>
    </row>
    <row r="30" spans="1:37">
      <c r="A30" t="s">
        <v>49</v>
      </c>
      <c r="K30" s="3">
        <v>43.482999999999997</v>
      </c>
    </row>
    <row r="31" spans="1:37">
      <c r="A31" t="s">
        <v>50</v>
      </c>
      <c r="K31" s="3">
        <v>213.453</v>
      </c>
    </row>
    <row r="32" spans="1:37">
      <c r="A32" t="s">
        <v>51</v>
      </c>
      <c r="K32" s="3">
        <v>161.434</v>
      </c>
    </row>
    <row r="33" spans="1:11">
      <c r="A33" t="s">
        <v>52</v>
      </c>
      <c r="K33" s="3">
        <f>SUM(K27:K32)</f>
        <v>5191.8800000000019</v>
      </c>
    </row>
    <row r="35" spans="1:11">
      <c r="A35" t="s">
        <v>5</v>
      </c>
      <c r="K35" s="3">
        <v>0</v>
      </c>
    </row>
    <row r="36" spans="1:11">
      <c r="A36" t="s">
        <v>53</v>
      </c>
      <c r="K36" s="3">
        <v>67.344999999999999</v>
      </c>
    </row>
    <row r="37" spans="1:11">
      <c r="A37" t="s">
        <v>54</v>
      </c>
      <c r="K37" s="3">
        <v>195.489</v>
      </c>
    </row>
    <row r="38" spans="1:11">
      <c r="A38" t="s">
        <v>55</v>
      </c>
      <c r="K38" s="3">
        <f>278.441+15.649</f>
        <v>294.08999999999997</v>
      </c>
    </row>
    <row r="39" spans="1:11">
      <c r="A39" t="s">
        <v>56</v>
      </c>
      <c r="K39" s="3">
        <f>221.519+1.527</f>
        <v>223.04599999999999</v>
      </c>
    </row>
    <row r="40" spans="1:11">
      <c r="A40" t="s">
        <v>57</v>
      </c>
      <c r="K40" s="3">
        <f>214.334+44.125</f>
        <v>258.459</v>
      </c>
    </row>
    <row r="41" spans="1:11">
      <c r="A41" t="s">
        <v>51</v>
      </c>
      <c r="K41" s="3">
        <v>15.645</v>
      </c>
    </row>
    <row r="42" spans="1:11">
      <c r="A42" t="s">
        <v>58</v>
      </c>
      <c r="K42" s="3">
        <f>SUM(K35:K41)</f>
        <v>1054.0740000000001</v>
      </c>
    </row>
    <row r="44" spans="1:11">
      <c r="A44" t="s">
        <v>59</v>
      </c>
      <c r="K44" s="3">
        <f>+K33-K42</f>
        <v>4137.8060000000023</v>
      </c>
    </row>
    <row r="45" spans="1:11">
      <c r="A45" t="s">
        <v>60</v>
      </c>
      <c r="K45" s="3">
        <f>+K42+K44</f>
        <v>5191.8800000000028</v>
      </c>
    </row>
    <row r="47" spans="1:11">
      <c r="A47" t="s">
        <v>61</v>
      </c>
      <c r="K47" s="6">
        <f>+K13/K33</f>
        <v>2.6111928627009853E-2</v>
      </c>
    </row>
    <row r="48" spans="1:11">
      <c r="A48" t="s">
        <v>62</v>
      </c>
      <c r="K48" s="6">
        <f>+K13/K44</f>
        <v>3.2763740011010636E-2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2024-10-08T17:43:47Z</dcterms:created>
  <dcterms:modified xsi:type="dcterms:W3CDTF">2024-10-09T14:50:54Z</dcterms:modified>
  <cp:category/>
  <cp:contentStatus/>
</cp:coreProperties>
</file>