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2"/>
  <workbookPr/>
  <xr:revisionPtr revIDLastSave="1207" documentId="11_FE4855BF84DCCE436F107A399131F45B7AFB1D1F" xr6:coauthVersionLast="47" xr6:coauthVersionMax="47" xr10:uidLastSave="{431164FB-73BB-463E-BAC9-319A3C3E931C}"/>
  <bookViews>
    <workbookView xWindow="240" yWindow="105" windowWidth="14805" windowHeight="8010" firstSheet="1" activeTab="2" xr2:uid="{00000000-000D-0000-FFFF-FFFF00000000}"/>
  </bookViews>
  <sheets>
    <sheet name="main" sheetId="1" r:id="rId1"/>
    <sheet name="model" sheetId="2" r:id="rId2"/>
    <sheet name="Folha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E3" i="3" s="1"/>
  <c r="F3" i="3" s="1"/>
  <c r="G3" i="3" s="1"/>
  <c r="H3" i="3" s="1"/>
  <c r="U104" i="2"/>
  <c r="T104" i="2"/>
  <c r="V104" i="2"/>
  <c r="W30" i="2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W29" i="2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W28" i="2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W27" i="2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W26" i="2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W25" i="2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W24" i="2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W23" i="2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W22" i="2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W21" i="2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W20" i="2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W19" i="2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W18" i="2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W17" i="2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W16" i="2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W15" i="2"/>
  <c r="X15" i="2"/>
  <c r="V97" i="2"/>
  <c r="V100" i="2" s="1"/>
  <c r="V88" i="2"/>
  <c r="V92" i="2" s="1"/>
  <c r="V70" i="2"/>
  <c r="L15" i="2"/>
  <c r="C15" i="2"/>
  <c r="D15" i="2"/>
  <c r="E15" i="2"/>
  <c r="F15" i="2"/>
  <c r="G15" i="2"/>
  <c r="H15" i="2"/>
  <c r="I15" i="2"/>
  <c r="J15" i="2"/>
  <c r="K15" i="2"/>
  <c r="E16" i="2"/>
  <c r="I16" i="2"/>
  <c r="B17" i="2"/>
  <c r="B32" i="2" s="1"/>
  <c r="C17" i="2"/>
  <c r="D17" i="2"/>
  <c r="E17" i="2"/>
  <c r="F17" i="2"/>
  <c r="G17" i="2"/>
  <c r="H17" i="2"/>
  <c r="I17" i="2"/>
  <c r="J17" i="2"/>
  <c r="K17" i="2"/>
  <c r="L17" i="2"/>
  <c r="E18" i="2"/>
  <c r="I18" i="2"/>
  <c r="E19" i="2"/>
  <c r="I19" i="2"/>
  <c r="E20" i="2"/>
  <c r="I20" i="2"/>
  <c r="E21" i="2"/>
  <c r="I21" i="2"/>
  <c r="B22" i="2"/>
  <c r="C22" i="2"/>
  <c r="D22" i="2"/>
  <c r="E22" i="2"/>
  <c r="F22" i="2"/>
  <c r="G22" i="2"/>
  <c r="H22" i="2"/>
  <c r="I22" i="2"/>
  <c r="J22" i="2"/>
  <c r="K22" i="2"/>
  <c r="L22" i="2"/>
  <c r="B23" i="2"/>
  <c r="C23" i="2"/>
  <c r="D23" i="2"/>
  <c r="E23" i="2"/>
  <c r="F23" i="2"/>
  <c r="G23" i="2"/>
  <c r="H23" i="2"/>
  <c r="I23" i="2"/>
  <c r="J23" i="2"/>
  <c r="K23" i="2"/>
  <c r="L23" i="2"/>
  <c r="E24" i="2"/>
  <c r="I24" i="2"/>
  <c r="C25" i="2"/>
  <c r="E25" i="2"/>
  <c r="I25" i="2"/>
  <c r="V25" i="2" s="1"/>
  <c r="B26" i="2"/>
  <c r="C26" i="2"/>
  <c r="D26" i="2"/>
  <c r="E26" i="2"/>
  <c r="F26" i="2"/>
  <c r="G26" i="2"/>
  <c r="H26" i="2"/>
  <c r="I26" i="2"/>
  <c r="J26" i="2"/>
  <c r="K26" i="2"/>
  <c r="L26" i="2"/>
  <c r="E27" i="2"/>
  <c r="I27" i="2"/>
  <c r="B28" i="2"/>
  <c r="C28" i="2"/>
  <c r="D28" i="2"/>
  <c r="E28" i="2"/>
  <c r="F28" i="2"/>
  <c r="G28" i="2"/>
  <c r="H28" i="2"/>
  <c r="I28" i="2"/>
  <c r="J28" i="2"/>
  <c r="K28" i="2"/>
  <c r="L28" i="2"/>
  <c r="B29" i="2"/>
  <c r="C29" i="2"/>
  <c r="D29" i="2"/>
  <c r="E29" i="2"/>
  <c r="F29" i="2"/>
  <c r="G29" i="2"/>
  <c r="H29" i="2"/>
  <c r="I29" i="2"/>
  <c r="J29" i="2"/>
  <c r="K29" i="2"/>
  <c r="L29" i="2"/>
  <c r="L9" i="2"/>
  <c r="K9" i="2"/>
  <c r="J9" i="2"/>
  <c r="I9" i="2"/>
  <c r="L8" i="2"/>
  <c r="K8" i="2"/>
  <c r="J8" i="2"/>
  <c r="I8" i="2"/>
  <c r="K7" i="2"/>
  <c r="J7" i="2"/>
  <c r="I7" i="2"/>
  <c r="L7" i="2"/>
  <c r="T97" i="2"/>
  <c r="U97" i="2"/>
  <c r="T88" i="2"/>
  <c r="U88" i="2"/>
  <c r="T100" i="2"/>
  <c r="T92" i="2"/>
  <c r="U92" i="2"/>
  <c r="T70" i="2"/>
  <c r="T85" i="2" s="1"/>
  <c r="T102" i="2" s="1"/>
  <c r="U70" i="2"/>
  <c r="U72" i="2"/>
  <c r="M5" i="1"/>
  <c r="V57" i="2"/>
  <c r="V56" i="2"/>
  <c r="V59" i="2" s="1"/>
  <c r="V46" i="2"/>
  <c r="V43" i="2"/>
  <c r="V49" i="2"/>
  <c r="V51" i="2" s="1"/>
  <c r="V60" i="2" s="1"/>
  <c r="W41" i="2"/>
  <c r="K36" i="2"/>
  <c r="J36" i="2"/>
  <c r="H36" i="2"/>
  <c r="G36" i="2"/>
  <c r="F36" i="2"/>
  <c r="D36" i="2"/>
  <c r="C36" i="2"/>
  <c r="B36" i="2"/>
  <c r="K35" i="2"/>
  <c r="J35" i="2"/>
  <c r="H35" i="2"/>
  <c r="G35" i="2"/>
  <c r="F35" i="2"/>
  <c r="D35" i="2"/>
  <c r="C35" i="2"/>
  <c r="B35" i="2"/>
  <c r="K34" i="2"/>
  <c r="J34" i="2"/>
  <c r="H34" i="2"/>
  <c r="G34" i="2"/>
  <c r="F34" i="2"/>
  <c r="D34" i="2"/>
  <c r="C34" i="2"/>
  <c r="B34" i="2"/>
  <c r="K33" i="2"/>
  <c r="J33" i="2"/>
  <c r="H33" i="2"/>
  <c r="G33" i="2"/>
  <c r="F33" i="2"/>
  <c r="D33" i="2"/>
  <c r="C33" i="2"/>
  <c r="B33" i="2"/>
  <c r="L36" i="2"/>
  <c r="L35" i="2"/>
  <c r="L34" i="2"/>
  <c r="L33" i="2"/>
  <c r="V30" i="2"/>
  <c r="U30" i="2"/>
  <c r="V1" i="2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U24" i="2"/>
  <c r="U16" i="2"/>
  <c r="D32" i="2"/>
  <c r="V24" i="2"/>
  <c r="I33" i="2"/>
  <c r="V16" i="2"/>
  <c r="K32" i="2"/>
  <c r="H32" i="2"/>
  <c r="M6" i="1"/>
  <c r="M4" i="1"/>
  <c r="M7" i="1" s="1"/>
  <c r="U100" i="2" l="1"/>
  <c r="L13" i="2"/>
  <c r="K13" i="2"/>
  <c r="J13" i="2"/>
  <c r="I13" i="2"/>
  <c r="G13" i="2"/>
  <c r="F13" i="2"/>
  <c r="E13" i="2"/>
  <c r="D13" i="2"/>
  <c r="C13" i="2"/>
  <c r="B13" i="2"/>
  <c r="L12" i="2"/>
  <c r="K12" i="2"/>
  <c r="J12" i="2"/>
  <c r="I12" i="2"/>
  <c r="G12" i="2"/>
  <c r="F12" i="2"/>
  <c r="E12" i="2"/>
  <c r="D12" i="2"/>
  <c r="C12" i="2"/>
  <c r="B12" i="2"/>
  <c r="L11" i="2"/>
  <c r="K11" i="2"/>
  <c r="J11" i="2"/>
  <c r="I11" i="2"/>
  <c r="G11" i="2"/>
  <c r="F11" i="2"/>
  <c r="E11" i="2"/>
  <c r="D11" i="2"/>
  <c r="C11" i="2"/>
  <c r="B11" i="2"/>
  <c r="H13" i="2"/>
  <c r="H12" i="2"/>
  <c r="H11" i="2"/>
  <c r="V61" i="2"/>
  <c r="F32" i="2"/>
  <c r="G32" i="2"/>
  <c r="J32" i="2"/>
  <c r="V19" i="2"/>
  <c r="I34" i="2"/>
  <c r="V20" i="2"/>
  <c r="I35" i="2"/>
  <c r="V21" i="2"/>
  <c r="I36" i="2"/>
  <c r="V27" i="2"/>
  <c r="C32" i="2"/>
  <c r="U18" i="2"/>
  <c r="E33" i="2"/>
  <c r="U19" i="2"/>
  <c r="U34" i="2" s="1"/>
  <c r="E34" i="2"/>
  <c r="U20" i="2"/>
  <c r="U35" i="2" s="1"/>
  <c r="E35" i="2"/>
  <c r="U21" i="2"/>
  <c r="U36" i="2" s="1"/>
  <c r="E36" i="2"/>
  <c r="U27" i="2"/>
  <c r="L32" i="2"/>
  <c r="I32" i="2"/>
  <c r="V15" i="2"/>
  <c r="V18" i="2"/>
  <c r="U25" i="2"/>
  <c r="U15" i="2"/>
  <c r="U17" i="2" s="1"/>
  <c r="D37" i="2" l="1"/>
  <c r="K37" i="2"/>
  <c r="H37" i="2"/>
  <c r="B37" i="2"/>
  <c r="E32" i="2"/>
  <c r="U32" i="2"/>
  <c r="V22" i="2"/>
  <c r="V33" i="2"/>
  <c r="V17" i="2"/>
  <c r="V32" i="2" s="1"/>
  <c r="U22" i="2"/>
  <c r="U23" i="2" s="1"/>
  <c r="U33" i="2"/>
  <c r="C37" i="2"/>
  <c r="V36" i="2"/>
  <c r="V35" i="2"/>
  <c r="V34" i="2"/>
  <c r="J37" i="2"/>
  <c r="G37" i="2"/>
  <c r="F37" i="2"/>
  <c r="L37" i="2"/>
  <c r="V23" i="2"/>
  <c r="V26" i="2" s="1"/>
  <c r="I37" i="2" l="1"/>
  <c r="V37" i="2"/>
  <c r="L38" i="2"/>
  <c r="F38" i="2"/>
  <c r="G38" i="2"/>
  <c r="J38" i="2"/>
  <c r="W34" i="2"/>
  <c r="W35" i="2"/>
  <c r="W36" i="2"/>
  <c r="C38" i="2"/>
  <c r="U26" i="2"/>
  <c r="U37" i="2"/>
  <c r="W33" i="2"/>
  <c r="E37" i="2"/>
  <c r="B38" i="2"/>
  <c r="H38" i="2"/>
  <c r="K38" i="2"/>
  <c r="D38" i="2"/>
  <c r="K39" i="2" l="1"/>
  <c r="H39" i="2"/>
  <c r="E38" i="2"/>
  <c r="X33" i="2"/>
  <c r="W32" i="2"/>
  <c r="Y15" i="2"/>
  <c r="U28" i="2"/>
  <c r="U38" i="2"/>
  <c r="X36" i="2"/>
  <c r="X35" i="2"/>
  <c r="X34" i="2"/>
  <c r="J39" i="2"/>
  <c r="G39" i="2"/>
  <c r="F39" i="2"/>
  <c r="L39" i="2"/>
  <c r="V28" i="2"/>
  <c r="V38" i="2"/>
  <c r="I38" i="2"/>
  <c r="V66" i="2" l="1"/>
  <c r="V85" i="2" s="1"/>
  <c r="V102" i="2" s="1"/>
  <c r="V103" i="2"/>
  <c r="U29" i="2"/>
  <c r="U66" i="2"/>
  <c r="U85" i="2" s="1"/>
  <c r="U102" i="2" s="1"/>
  <c r="U103" i="2" s="1"/>
  <c r="V64" i="2"/>
  <c r="V63" i="2"/>
  <c r="I39" i="2"/>
  <c r="V29" i="2"/>
  <c r="V39" i="2"/>
  <c r="Y34" i="2"/>
  <c r="Y35" i="2"/>
  <c r="Y36" i="2"/>
  <c r="Z15" i="2"/>
  <c r="X32" i="2"/>
  <c r="W37" i="2"/>
  <c r="Y33" i="2"/>
  <c r="Z33" i="2" l="1"/>
  <c r="W38" i="2"/>
  <c r="X37" i="2"/>
  <c r="AA15" i="2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Y32" i="2"/>
  <c r="Z36" i="2"/>
  <c r="Z35" i="2"/>
  <c r="Z34" i="2"/>
  <c r="AA34" i="2" l="1"/>
  <c r="AA35" i="2"/>
  <c r="AA36" i="2"/>
  <c r="Y37" i="2"/>
  <c r="Z32" i="2"/>
  <c r="Z37" i="2"/>
  <c r="X38" i="2"/>
  <c r="W39" i="2"/>
  <c r="X41" i="2"/>
  <c r="AA33" i="2"/>
  <c r="AB33" i="2" l="1"/>
  <c r="Y41" i="2"/>
  <c r="X39" i="2"/>
  <c r="AA37" i="2"/>
  <c r="AA32" i="2"/>
  <c r="AB36" i="2"/>
  <c r="AB35" i="2"/>
  <c r="AB34" i="2"/>
  <c r="AC34" i="2" l="1"/>
  <c r="AC35" i="2"/>
  <c r="AC36" i="2"/>
  <c r="AB32" i="2"/>
  <c r="AB37" i="2"/>
  <c r="Y38" i="2"/>
  <c r="AC33" i="2"/>
  <c r="AD33" i="2" l="1"/>
  <c r="Y39" i="2"/>
  <c r="Z41" i="2"/>
  <c r="Z38" i="2"/>
  <c r="AC37" i="2"/>
  <c r="AC32" i="2"/>
  <c r="AD36" i="2"/>
  <c r="AD35" i="2"/>
  <c r="AD34" i="2"/>
  <c r="AE34" i="2" l="1"/>
  <c r="AE35" i="2"/>
  <c r="AE36" i="2"/>
  <c r="AD32" i="2"/>
  <c r="AD37" i="2"/>
  <c r="Z39" i="2"/>
  <c r="AA41" i="2"/>
  <c r="AE33" i="2"/>
  <c r="AF33" i="2" l="1"/>
  <c r="AA38" i="2"/>
  <c r="AB41" i="2"/>
  <c r="AE37" i="2"/>
  <c r="AE32" i="2"/>
  <c r="AF36" i="2"/>
  <c r="AF35" i="2"/>
  <c r="AF34" i="2"/>
  <c r="AG34" i="2" l="1"/>
  <c r="AG35" i="2"/>
  <c r="AG36" i="2"/>
  <c r="AF32" i="2"/>
  <c r="AF37" i="2"/>
  <c r="AB38" i="2"/>
  <c r="AC41" i="2"/>
  <c r="AA39" i="2"/>
  <c r="AG33" i="2"/>
  <c r="AH33" i="2" l="1"/>
  <c r="AC38" i="2"/>
  <c r="AD41" i="2"/>
  <c r="AB39" i="2"/>
  <c r="AG37" i="2"/>
  <c r="AG32" i="2"/>
  <c r="AH36" i="2"/>
  <c r="AH35" i="2"/>
  <c r="AH34" i="2"/>
  <c r="AI34" i="2" l="1"/>
  <c r="AI35" i="2"/>
  <c r="AI36" i="2"/>
  <c r="AH32" i="2"/>
  <c r="AH37" i="2"/>
  <c r="AD38" i="2"/>
  <c r="AE41" i="2"/>
  <c r="AC39" i="2"/>
  <c r="AI33" i="2"/>
  <c r="AJ33" i="2" l="1"/>
  <c r="AE38" i="2"/>
  <c r="AF41" i="2"/>
  <c r="AD39" i="2"/>
  <c r="AI37" i="2"/>
  <c r="AI32" i="2"/>
  <c r="AJ36" i="2"/>
  <c r="AJ35" i="2"/>
  <c r="AJ34" i="2"/>
  <c r="AK34" i="2" l="1"/>
  <c r="AK35" i="2"/>
  <c r="AK36" i="2"/>
  <c r="AJ32" i="2"/>
  <c r="AJ37" i="2"/>
  <c r="AF38" i="2"/>
  <c r="AG41" i="2"/>
  <c r="AE39" i="2"/>
  <c r="AK33" i="2"/>
  <c r="AL33" i="2" l="1"/>
  <c r="AG38" i="2"/>
  <c r="AH41" i="2"/>
  <c r="AF39" i="2"/>
  <c r="AK37" i="2"/>
  <c r="AK32" i="2"/>
  <c r="AM36" i="2"/>
  <c r="AL36" i="2"/>
  <c r="AM35" i="2"/>
  <c r="AL35" i="2"/>
  <c r="AM34" i="2"/>
  <c r="AL34" i="2"/>
  <c r="AL32" i="2" l="1"/>
  <c r="AL37" i="2"/>
  <c r="AM32" i="2"/>
  <c r="AH38" i="2"/>
  <c r="AI41" i="2"/>
  <c r="AG39" i="2"/>
  <c r="AM37" i="2"/>
  <c r="AM33" i="2"/>
  <c r="AI38" i="2" l="1"/>
  <c r="AJ41" i="2"/>
  <c r="AH39" i="2"/>
  <c r="AJ38" i="2" l="1"/>
  <c r="AK41" i="2"/>
  <c r="AI39" i="2"/>
  <c r="AK38" i="2" l="1"/>
  <c r="AL41" i="2"/>
  <c r="AJ39" i="2"/>
  <c r="AL38" i="2" l="1"/>
  <c r="AM41" i="2"/>
  <c r="AK39" i="2"/>
  <c r="AM38" i="2" l="1"/>
  <c r="AL39" i="2"/>
  <c r="AN28" i="2" l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AM39" i="2"/>
  <c r="O32" i="2"/>
  <c r="O33" i="2" s="1"/>
</calcChain>
</file>

<file path=xl/sharedStrings.xml><?xml version="1.0" encoding="utf-8"?>
<sst xmlns="http://schemas.openxmlformats.org/spreadsheetml/2006/main" count="143" uniqueCount="107">
  <si>
    <t>UBER</t>
  </si>
  <si>
    <t>Price</t>
  </si>
  <si>
    <t>Uber Technologies</t>
  </si>
  <si>
    <t>Shares</t>
  </si>
  <si>
    <t>MC</t>
  </si>
  <si>
    <t>Cash</t>
  </si>
  <si>
    <t xml:space="preserve"> </t>
  </si>
  <si>
    <t>Debt</t>
  </si>
  <si>
    <t>EV</t>
  </si>
  <si>
    <t>Acquisitions</t>
  </si>
  <si>
    <t>Bill Ackman</t>
  </si>
  <si>
    <t>30,3M Shares</t>
  </si>
  <si>
    <t xml:space="preserve">Partnerships </t>
  </si>
  <si>
    <t>Waymo</t>
  </si>
  <si>
    <t>Thousands</t>
  </si>
  <si>
    <t>Q1222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</si>
  <si>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</si>
  <si>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</si>
  <si>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</si>
  <si>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</si>
  <si>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</si>
  <si>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</si>
  <si>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</si>
  <si>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</si>
  <si>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</si>
  <si>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</si>
  <si>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</si>
  <si>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Mobility</t>
  </si>
  <si>
    <t>Delivery</t>
  </si>
  <si>
    <t>Freight</t>
  </si>
  <si>
    <t>Mobility y/y</t>
  </si>
  <si>
    <t>Delivery y/y</t>
  </si>
  <si>
    <t>Freight y/y</t>
  </si>
  <si>
    <t>Mobility %</t>
  </si>
  <si>
    <t>Delivery %</t>
  </si>
  <si>
    <t>Freight %</t>
  </si>
  <si>
    <t>Revenue</t>
  </si>
  <si>
    <t>COGS</t>
  </si>
  <si>
    <t>Gross Profit</t>
  </si>
  <si>
    <t>Suport</t>
  </si>
  <si>
    <t>SM</t>
  </si>
  <si>
    <t>RD</t>
  </si>
  <si>
    <t>GA</t>
  </si>
  <si>
    <t>OPEX</t>
  </si>
  <si>
    <t>Operating income</t>
  </si>
  <si>
    <t>Interest Income</t>
  </si>
  <si>
    <t>Other</t>
  </si>
  <si>
    <t>Pretax</t>
  </si>
  <si>
    <t>Taxes</t>
  </si>
  <si>
    <t>NI</t>
  </si>
  <si>
    <t>EPS</t>
  </si>
  <si>
    <t>Gross %</t>
  </si>
  <si>
    <t>NPV</t>
  </si>
  <si>
    <t>Sup %</t>
  </si>
  <si>
    <t>Share</t>
  </si>
  <si>
    <t>SM %</t>
  </si>
  <si>
    <t>RD%</t>
  </si>
  <si>
    <t>Operating %</t>
  </si>
  <si>
    <t>Tax rate</t>
  </si>
  <si>
    <t>NI y/y</t>
  </si>
  <si>
    <t>Net Cash</t>
  </si>
  <si>
    <t xml:space="preserve">Cash </t>
  </si>
  <si>
    <t>AR</t>
  </si>
  <si>
    <t>OCA</t>
  </si>
  <si>
    <t>Restricted</t>
  </si>
  <si>
    <t>PPE</t>
  </si>
  <si>
    <t>OLA</t>
  </si>
  <si>
    <t>Intangibles</t>
  </si>
  <si>
    <t>Assets</t>
  </si>
  <si>
    <t>AP</t>
  </si>
  <si>
    <t>Accrued</t>
  </si>
  <si>
    <t>Insurance</t>
  </si>
  <si>
    <t>OLL</t>
  </si>
  <si>
    <t>LTL</t>
  </si>
  <si>
    <t>Liabilities</t>
  </si>
  <si>
    <t>S/E</t>
  </si>
  <si>
    <t>L+S/E</t>
  </si>
  <si>
    <t>ROE</t>
  </si>
  <si>
    <t>ROA</t>
  </si>
  <si>
    <t>Model NI</t>
  </si>
  <si>
    <t>Reported NI</t>
  </si>
  <si>
    <t>DA</t>
  </si>
  <si>
    <t>SBC</t>
  </si>
  <si>
    <t>Investments</t>
  </si>
  <si>
    <t>DT</t>
  </si>
  <si>
    <t>Imparements</t>
  </si>
  <si>
    <t>Losses</t>
  </si>
  <si>
    <t>Unrealized</t>
  </si>
  <si>
    <t>Foreign</t>
  </si>
  <si>
    <t>OA</t>
  </si>
  <si>
    <t>Colateral</t>
  </si>
  <si>
    <t>Operating Assets</t>
  </si>
  <si>
    <t>Reserves</t>
  </si>
  <si>
    <t>AE</t>
  </si>
  <si>
    <t>Leases</t>
  </si>
  <si>
    <t>CFFO</t>
  </si>
  <si>
    <t>Securities</t>
  </si>
  <si>
    <t>Notes Receiveble</t>
  </si>
  <si>
    <t>CFFI</t>
  </si>
  <si>
    <t>Insuance</t>
  </si>
  <si>
    <t>Buyback</t>
  </si>
  <si>
    <t>Term loan</t>
  </si>
  <si>
    <t>Repayments</t>
  </si>
  <si>
    <t>CFFF</t>
  </si>
  <si>
    <t>FCF</t>
  </si>
  <si>
    <t>P/FCF</t>
  </si>
  <si>
    <t>CFA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</si>
</sst>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>
    <font>
      <sz val="11"/>
      <color theme="1"/>
      <name val="Aptos Narrow"/>
      <family val="2"/>
      <scheme val="minor"/>
    </font>
    <font>
      <sz val="11"/>
      <color rgb="FF000000"/>
      <name val="Consola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9" fontId="0" fillId="0" borderId="0" xfId="0" applyNumberFormat="1"/>
    <xf numFmtId="8" fontId="0" fillId="0" borderId="0" xfId="0" applyNumberFormat="1"/>
    <xf numFmtId="0" fontId="1" fillId="0" borderId="0" xfId="0" applyFont="1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CashF. Activities</a:t>
            </a:r>
          </a:p>
        </c:rich>
      </c:tx>
      <c:layout>
        <c:manualLayout>
          <c:xMode val="edge"/>
          <c:yMode val="edge"/>
          <c:x val="0.35879155730533685"/>
          <c:y val="1.7361111111111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Folha1!$B$4:$G$4</c:f>
              <c:numCache>
                <c:formatCode>General</c:formatCode>
                <c:ptCount val="6"/>
                <c:pt idx="0">
                  <c:v>-4321</c:v>
                </c:pt>
                <c:pt idx="1">
                  <c:v>-2748</c:v>
                </c:pt>
                <c:pt idx="2">
                  <c:v>-445</c:v>
                </c:pt>
                <c:pt idx="3">
                  <c:v>642</c:v>
                </c:pt>
                <c:pt idx="4">
                  <c:v>3585</c:v>
                </c:pt>
                <c:pt idx="5">
                  <c:v>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5-48BD-A870-13883247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1799047"/>
        <c:axId val="1131801095"/>
      </c:barChart>
      <c:catAx>
        <c:axId val="1131799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01095"/>
        <c:crosses val="autoZero"/>
        <c:auto val="1"/>
        <c:lblAlgn val="ctr"/>
        <c:lblOffset val="100"/>
        <c:noMultiLvlLbl val="0"/>
      </c:catAx>
      <c:valAx>
        <c:axId val="1131801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99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9</xdr:row>
      <xdr:rowOff>152400</xdr:rowOff>
    </xdr:from>
    <xdr:to>
      <xdr:col>15</xdr:col>
      <xdr:colOff>590550</xdr:colOff>
      <xdr:row>24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38ACDA5-ADD7-9B4E-D4FF-26FB34006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topLeftCell="A13" workbookViewId="0">
      <selection activeCell="J17" sqref="J17"/>
    </sheetView>
  </sheetViews>
  <sheetFormatPr defaultRowHeight="15"/>
  <cols>
    <col min="2" max="2" width="11.7109375" bestFit="1" customWidth="1"/>
    <col min="13" max="13" width="10.85546875" bestFit="1" customWidth="1"/>
  </cols>
  <sheetData>
    <row r="2" spans="2:14">
      <c r="B2" t="s">
        <v>0</v>
      </c>
      <c r="L2" t="s">
        <v>1</v>
      </c>
      <c r="M2" s="1">
        <v>60.6</v>
      </c>
    </row>
    <row r="3" spans="2:14">
      <c r="B3" t="s">
        <v>2</v>
      </c>
      <c r="L3" t="s">
        <v>3</v>
      </c>
      <c r="M3" s="1">
        <v>2100.1</v>
      </c>
    </row>
    <row r="4" spans="2:14">
      <c r="L4" t="s">
        <v>4</v>
      </c>
      <c r="M4" s="1">
        <f>+M3*M2</f>
        <v>127266.06</v>
      </c>
    </row>
    <row r="5" spans="2:14">
      <c r="L5" t="s">
        <v>5</v>
      </c>
      <c r="M5">
        <f>6150+2913+933</f>
        <v>9996</v>
      </c>
      <c r="N5" s="1" t="s">
        <v>6</v>
      </c>
    </row>
    <row r="6" spans="2:14">
      <c r="L6" t="s">
        <v>7</v>
      </c>
      <c r="M6">
        <f>2523+6623+10986</f>
        <v>20132</v>
      </c>
      <c r="N6" s="1" t="s">
        <v>6</v>
      </c>
    </row>
    <row r="7" spans="2:14">
      <c r="L7" t="s">
        <v>8</v>
      </c>
      <c r="M7" s="1">
        <f>+M4-M5+M6</f>
        <v>137402.06</v>
      </c>
    </row>
    <row r="13" spans="2:14">
      <c r="B13" t="s">
        <v>9</v>
      </c>
      <c r="C13" t="s">
        <v>10</v>
      </c>
      <c r="D13" t="s">
        <v>11</v>
      </c>
    </row>
    <row r="14" spans="2:14">
      <c r="B14" t="s">
        <v>12</v>
      </c>
      <c r="C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8BB6E-43CF-47D0-9718-00A15F7D8A3D}">
  <dimension ref="A1:XFD105"/>
  <sheetViews>
    <sheetView workbookViewId="0">
      <pane xSplit="1" ySplit="1" topLeftCell="B24" activePane="bottomRight" state="frozen"/>
      <selection pane="bottomRight" activeCell="Q33" sqref="Q33"/>
      <selection pane="bottomLeft"/>
      <selection pane="topRight"/>
    </sheetView>
  </sheetViews>
  <sheetFormatPr defaultRowHeight="15"/>
  <cols>
    <col min="1" max="1" width="16.5703125" bestFit="1" customWidth="1"/>
    <col min="2" max="5" width="9.28515625" bestFit="1" customWidth="1"/>
    <col min="7" max="11" width="9.28515625" bestFit="1" customWidth="1"/>
    <col min="12" max="12" width="9.7109375" bestFit="1" customWidth="1"/>
    <col min="15" max="15" width="12.5703125" bestFit="1" customWidth="1"/>
  </cols>
  <sheetData>
    <row r="1" spans="1:39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S1">
        <v>2020</v>
      </c>
      <c r="T1">
        <v>2021</v>
      </c>
      <c r="U1">
        <v>2022</v>
      </c>
      <c r="V1">
        <f>+U1+1</f>
        <v>2023</v>
      </c>
      <c r="W1">
        <f t="shared" ref="W1:AM1" si="0">+V1+1</f>
        <v>2024</v>
      </c>
      <c r="X1">
        <f t="shared" si="0"/>
        <v>2025</v>
      </c>
      <c r="Y1">
        <f t="shared" si="0"/>
        <v>2026</v>
      </c>
      <c r="Z1">
        <f t="shared" si="0"/>
        <v>2027</v>
      </c>
      <c r="AA1">
        <f t="shared" si="0"/>
        <v>2028</v>
      </c>
      <c r="AB1">
        <f t="shared" si="0"/>
        <v>2029</v>
      </c>
      <c r="AC1">
        <f t="shared" si="0"/>
        <v>2030</v>
      </c>
      <c r="AD1">
        <f t="shared" si="0"/>
        <v>2031</v>
      </c>
      <c r="AE1">
        <f t="shared" si="0"/>
        <v>2032</v>
      </c>
      <c r="AF1">
        <f t="shared" si="0"/>
        <v>2033</v>
      </c>
      <c r="AG1">
        <f t="shared" si="0"/>
        <v>2034</v>
      </c>
      <c r="AH1">
        <f t="shared" si="0"/>
        <v>2035</v>
      </c>
      <c r="AI1">
        <f t="shared" si="0"/>
        <v>2036</v>
      </c>
      <c r="AJ1">
        <f t="shared" si="0"/>
        <v>2037</v>
      </c>
      <c r="AK1">
        <f t="shared" si="0"/>
        <v>2038</v>
      </c>
      <c r="AL1">
        <f t="shared" si="0"/>
        <v>2039</v>
      </c>
      <c r="AM1">
        <f t="shared" si="0"/>
        <v>2040</v>
      </c>
    </row>
    <row r="3" spans="1:39">
      <c r="A3" t="s">
        <v>27</v>
      </c>
      <c r="C3" s="6">
        <v>3553</v>
      </c>
      <c r="D3" s="6">
        <v>3822</v>
      </c>
      <c r="E3" s="6">
        <v>4136</v>
      </c>
      <c r="F3" s="6">
        <v>4330</v>
      </c>
      <c r="G3" s="6">
        <v>4894</v>
      </c>
      <c r="H3" s="6">
        <v>5071</v>
      </c>
      <c r="I3" s="6">
        <v>5537</v>
      </c>
      <c r="J3" s="6">
        <v>5633</v>
      </c>
      <c r="K3" s="6">
        <v>6134</v>
      </c>
      <c r="L3" s="6">
        <v>6409</v>
      </c>
    </row>
    <row r="4" spans="1:39">
      <c r="A4" t="s">
        <v>28</v>
      </c>
      <c r="C4" s="6">
        <v>2688</v>
      </c>
      <c r="D4" s="6">
        <v>2770</v>
      </c>
      <c r="E4" s="6">
        <v>2931</v>
      </c>
      <c r="F4" s="6">
        <v>3093</v>
      </c>
      <c r="G4" s="6">
        <v>3057</v>
      </c>
      <c r="H4" s="6">
        <v>2935</v>
      </c>
      <c r="I4" s="6">
        <v>3119</v>
      </c>
      <c r="J4" s="6">
        <v>3214</v>
      </c>
      <c r="K4" s="6">
        <v>3293</v>
      </c>
      <c r="L4" s="6">
        <v>3470</v>
      </c>
    </row>
    <row r="5" spans="1:39">
      <c r="A5" t="s">
        <v>29</v>
      </c>
      <c r="C5" s="6">
        <v>1832</v>
      </c>
      <c r="D5" s="6">
        <v>1751</v>
      </c>
      <c r="E5" s="6">
        <v>1540</v>
      </c>
      <c r="F5" s="6">
        <v>1400</v>
      </c>
      <c r="G5" s="6">
        <v>1279</v>
      </c>
      <c r="H5" s="6">
        <v>1286</v>
      </c>
      <c r="I5" s="6">
        <v>1280</v>
      </c>
      <c r="J5" s="6">
        <v>1284</v>
      </c>
      <c r="K5" s="6">
        <v>1273</v>
      </c>
      <c r="L5" s="6">
        <v>1309</v>
      </c>
    </row>
    <row r="7" spans="1:39">
      <c r="A7" t="s">
        <v>30</v>
      </c>
      <c r="E7" s="2"/>
      <c r="F7" s="2"/>
      <c r="G7" s="2"/>
      <c r="H7" s="2"/>
      <c r="I7" s="2">
        <f t="shared" ref="E7:K7" si="1">+I3/E3-1</f>
        <v>0.33873307543520315</v>
      </c>
      <c r="J7" s="2">
        <f t="shared" si="1"/>
        <v>0.30092378752886839</v>
      </c>
      <c r="K7" s="2">
        <f t="shared" si="1"/>
        <v>0.25337147527584802</v>
      </c>
      <c r="L7" s="2">
        <f>+L3/H3-1</f>
        <v>0.26385328337605984</v>
      </c>
    </row>
    <row r="8" spans="1:39">
      <c r="A8" t="s">
        <v>31</v>
      </c>
      <c r="E8" s="2"/>
      <c r="F8" s="2"/>
      <c r="G8" s="2"/>
      <c r="H8" s="2"/>
      <c r="I8" s="2">
        <f t="shared" ref="E8:L8" si="2">+I4/E4-1</f>
        <v>6.4141931081542092E-2</v>
      </c>
      <c r="J8" s="2">
        <f t="shared" si="2"/>
        <v>3.9120594891690841E-2</v>
      </c>
      <c r="K8" s="2">
        <f t="shared" si="2"/>
        <v>7.7199869152764222E-2</v>
      </c>
      <c r="L8" s="2">
        <f t="shared" si="2"/>
        <v>0.18228279386712098</v>
      </c>
    </row>
    <row r="9" spans="1:39">
      <c r="A9" t="s">
        <v>32</v>
      </c>
      <c r="E9" s="2"/>
      <c r="F9" s="2"/>
      <c r="G9" s="2"/>
      <c r="H9" s="2"/>
      <c r="I9" s="2">
        <f t="shared" ref="E9:L9" si="3">+I5/E5-1</f>
        <v>-0.16883116883116878</v>
      </c>
      <c r="J9" s="2">
        <f t="shared" si="3"/>
        <v>-8.2857142857142851E-2</v>
      </c>
      <c r="K9" s="2">
        <f t="shared" si="3"/>
        <v>-4.691164972634887E-3</v>
      </c>
      <c r="L9" s="2">
        <f t="shared" si="3"/>
        <v>1.7884914463452528E-2</v>
      </c>
    </row>
    <row r="10" spans="1:39">
      <c r="E10" t="s">
        <v>6</v>
      </c>
      <c r="K10" t="s">
        <v>6</v>
      </c>
      <c r="O10" s="5"/>
    </row>
    <row r="11" spans="1:39">
      <c r="A11" t="s">
        <v>33</v>
      </c>
      <c r="B11" s="2">
        <f t="shared" ref="B11:L13" si="4">+B3/$H$15</f>
        <v>0</v>
      </c>
      <c r="C11" s="2">
        <f t="shared" si="4"/>
        <v>0.38237193284545845</v>
      </c>
      <c r="D11" s="2">
        <f t="shared" si="4"/>
        <v>0.41132156693930261</v>
      </c>
      <c r="E11" s="2">
        <f t="shared" si="4"/>
        <v>0.44511407662505381</v>
      </c>
      <c r="F11" s="2">
        <f t="shared" si="4"/>
        <v>0.46599225139905293</v>
      </c>
      <c r="G11" s="2">
        <f t="shared" si="4"/>
        <v>0.52668962548428755</v>
      </c>
      <c r="H11" s="2">
        <f>+H3/$H$15</f>
        <v>0.54573826947912185</v>
      </c>
      <c r="I11" s="2">
        <f t="shared" ref="I11:L11" si="5">+I3/$H$15</f>
        <v>0.59588893671975895</v>
      </c>
      <c r="J11" s="2">
        <f t="shared" si="5"/>
        <v>0.6062204046491606</v>
      </c>
      <c r="K11" s="2">
        <f t="shared" si="5"/>
        <v>0.66013775290572541</v>
      </c>
      <c r="L11" s="2">
        <f t="shared" si="5"/>
        <v>0.68973310374515717</v>
      </c>
    </row>
    <row r="12" spans="1:39">
      <c r="A12" t="s">
        <v>34</v>
      </c>
      <c r="B12" s="2">
        <f t="shared" si="4"/>
        <v>0</v>
      </c>
      <c r="C12" s="2">
        <f t="shared" si="4"/>
        <v>0.28928110202324581</v>
      </c>
      <c r="D12" s="2">
        <f t="shared" si="4"/>
        <v>0.29810589754627637</v>
      </c>
      <c r="E12" s="2">
        <f t="shared" si="4"/>
        <v>0.31543263021954371</v>
      </c>
      <c r="F12" s="2">
        <f t="shared" si="4"/>
        <v>0.33286698235040896</v>
      </c>
      <c r="G12" s="2">
        <f t="shared" si="4"/>
        <v>0.32899268187688335</v>
      </c>
      <c r="H12" s="2">
        <f t="shared" ref="H12:H13" si="6">+H4/$H$15</f>
        <v>0.31586310804993545</v>
      </c>
      <c r="I12" s="2">
        <f t="shared" si="4"/>
        <v>0.33566508824795521</v>
      </c>
      <c r="J12" s="2">
        <f t="shared" si="4"/>
        <v>0.34588893671975895</v>
      </c>
      <c r="K12" s="2">
        <f t="shared" si="4"/>
        <v>0.35439087386999568</v>
      </c>
      <c r="L12" s="2">
        <f t="shared" si="4"/>
        <v>0.37343951786482998</v>
      </c>
    </row>
    <row r="13" spans="1:39">
      <c r="A13" t="s">
        <v>35</v>
      </c>
      <c r="B13" s="2">
        <f t="shared" si="4"/>
        <v>0</v>
      </c>
      <c r="C13" s="2">
        <f t="shared" si="4"/>
        <v>0.19715884631941455</v>
      </c>
      <c r="D13" s="2">
        <f t="shared" si="4"/>
        <v>0.18844167025398192</v>
      </c>
      <c r="E13" s="2">
        <f t="shared" si="4"/>
        <v>0.16573396470081792</v>
      </c>
      <c r="F13" s="2">
        <f t="shared" si="4"/>
        <v>0.15066724063710718</v>
      </c>
      <c r="G13" s="2">
        <f t="shared" si="4"/>
        <v>0.13764528626775721</v>
      </c>
      <c r="H13" s="2">
        <f t="shared" si="6"/>
        <v>0.13839862247094276</v>
      </c>
      <c r="I13" s="2">
        <f t="shared" si="4"/>
        <v>0.13775290572535515</v>
      </c>
      <c r="J13" s="2">
        <f t="shared" si="4"/>
        <v>0.13818338355574689</v>
      </c>
      <c r="K13" s="2">
        <f t="shared" si="4"/>
        <v>0.1369995695221696</v>
      </c>
      <c r="L13" s="2">
        <f t="shared" si="4"/>
        <v>0.14087386999569523</v>
      </c>
    </row>
    <row r="15" spans="1:39">
      <c r="A15" t="s">
        <v>36</v>
      </c>
      <c r="B15" s="6">
        <v>6854</v>
      </c>
      <c r="C15" s="6">
        <f t="shared" ref="B15:K15" si="7">SUM(C3:C5)</f>
        <v>8073</v>
      </c>
      <c r="D15" s="6">
        <f t="shared" si="7"/>
        <v>8343</v>
      </c>
      <c r="E15" s="6">
        <f t="shared" si="7"/>
        <v>8607</v>
      </c>
      <c r="F15" s="6">
        <f t="shared" si="7"/>
        <v>8823</v>
      </c>
      <c r="G15" s="6">
        <f t="shared" si="7"/>
        <v>9230</v>
      </c>
      <c r="H15" s="6">
        <f t="shared" si="7"/>
        <v>9292</v>
      </c>
      <c r="I15" s="6">
        <f t="shared" si="7"/>
        <v>9936</v>
      </c>
      <c r="J15" s="6">
        <f t="shared" si="7"/>
        <v>10131</v>
      </c>
      <c r="K15" s="6">
        <f t="shared" si="7"/>
        <v>10700</v>
      </c>
      <c r="L15" s="6">
        <f>SUM(L3:L5)</f>
        <v>11188</v>
      </c>
      <c r="M15" t="s">
        <v>6</v>
      </c>
      <c r="N15" t="s">
        <v>6</v>
      </c>
      <c r="U15">
        <f>SUM(B15:E15)</f>
        <v>31877</v>
      </c>
      <c r="V15">
        <f>SUM(F15:I15)</f>
        <v>37281</v>
      </c>
      <c r="W15">
        <f>+V15*1.15</f>
        <v>42873.149999999994</v>
      </c>
      <c r="X15">
        <f t="shared" ref="X15:AM15" si="8">+W15*1.15</f>
        <v>49304.12249999999</v>
      </c>
      <c r="Y15">
        <f t="shared" si="8"/>
        <v>56699.740874999981</v>
      </c>
      <c r="Z15">
        <f t="shared" si="8"/>
        <v>65204.702006249972</v>
      </c>
      <c r="AA15">
        <f t="shared" si="8"/>
        <v>74985.407307187459</v>
      </c>
      <c r="AB15">
        <f>+AA15*1.1</f>
        <v>82483.948037906215</v>
      </c>
      <c r="AC15">
        <f t="shared" ref="AC15:AF15" si="9">+AB15*1.1</f>
        <v>90732.342841696838</v>
      </c>
      <c r="AD15">
        <f t="shared" si="9"/>
        <v>99805.577125866534</v>
      </c>
      <c r="AE15">
        <f t="shared" si="9"/>
        <v>109786.1348384532</v>
      </c>
      <c r="AF15">
        <f t="shared" si="9"/>
        <v>120764.74832229853</v>
      </c>
      <c r="AG15">
        <f>+AF15*1.05</f>
        <v>126802.98573841347</v>
      </c>
      <c r="AH15">
        <f t="shared" ref="AH15:AI15" si="10">+AG15*1.05</f>
        <v>133143.13502533414</v>
      </c>
      <c r="AI15">
        <f t="shared" si="10"/>
        <v>139800.29177660085</v>
      </c>
      <c r="AJ15">
        <f>+AI15*1</f>
        <v>139800.29177660085</v>
      </c>
      <c r="AK15">
        <f t="shared" ref="AK15:AM15" si="11">+AJ15*1</f>
        <v>139800.29177660085</v>
      </c>
      <c r="AL15">
        <f t="shared" si="11"/>
        <v>139800.29177660085</v>
      </c>
      <c r="AM15">
        <f t="shared" si="11"/>
        <v>139800.29177660085</v>
      </c>
    </row>
    <row r="16" spans="1:39">
      <c r="A16" t="s">
        <v>37</v>
      </c>
      <c r="B16" s="6">
        <v>4026</v>
      </c>
      <c r="C16" s="6">
        <v>5153</v>
      </c>
      <c r="D16" s="6">
        <v>5173</v>
      </c>
      <c r="E16" s="6">
        <f>19659-D16-C16-B16</f>
        <v>5307</v>
      </c>
      <c r="F16" s="6">
        <v>5259</v>
      </c>
      <c r="G16" s="6">
        <v>5515</v>
      </c>
      <c r="H16" s="6">
        <v>5626</v>
      </c>
      <c r="I16" s="6">
        <f>22457-H16-G16-F16</f>
        <v>6057</v>
      </c>
      <c r="J16" s="6">
        <v>6168</v>
      </c>
      <c r="K16" s="6">
        <v>6488</v>
      </c>
      <c r="L16" s="6">
        <v>6761</v>
      </c>
      <c r="U16">
        <f>SUM(B16:E16)</f>
        <v>19659</v>
      </c>
      <c r="V16">
        <f>SUM(F16:I16)</f>
        <v>22457</v>
      </c>
      <c r="W16">
        <f t="shared" ref="W16:W30" si="12">+V16*1.15</f>
        <v>25825.55</v>
      </c>
      <c r="X16">
        <f t="shared" ref="X16:X30" si="13">+W16*1.15</f>
        <v>29699.382499999996</v>
      </c>
      <c r="Y16">
        <f t="shared" ref="Y16:Y30" si="14">+X16*1.15</f>
        <v>34154.289874999995</v>
      </c>
      <c r="Z16">
        <f t="shared" ref="Z16:Z30" si="15">+Y16*1.15</f>
        <v>39277.433356249989</v>
      </c>
      <c r="AA16">
        <f t="shared" ref="AA16:AA30" si="16">+Z16*1.15</f>
        <v>45169.048359687484</v>
      </c>
      <c r="AB16">
        <f t="shared" ref="AB16:AF16" si="17">+AA16*1.1</f>
        <v>49685.953195656235</v>
      </c>
      <c r="AC16">
        <f t="shared" si="17"/>
        <v>54654.548515221861</v>
      </c>
      <c r="AD16">
        <f t="shared" si="17"/>
        <v>60120.003366744051</v>
      </c>
      <c r="AE16">
        <f t="shared" si="17"/>
        <v>66132.003703418464</v>
      </c>
      <c r="AF16">
        <f t="shared" si="17"/>
        <v>72745.204073760324</v>
      </c>
      <c r="AG16">
        <f t="shared" ref="AG16:AI16" si="18">+AF16*1.05</f>
        <v>76382.464277448336</v>
      </c>
      <c r="AH16">
        <f t="shared" si="18"/>
        <v>80201.587491320752</v>
      </c>
      <c r="AI16">
        <f t="shared" si="18"/>
        <v>84211.666865886786</v>
      </c>
      <c r="AJ16">
        <f t="shared" ref="AJ16:AM16" si="19">+AI16*1</f>
        <v>84211.666865886786</v>
      </c>
      <c r="AK16">
        <f t="shared" si="19"/>
        <v>84211.666865886786</v>
      </c>
      <c r="AL16">
        <f t="shared" si="19"/>
        <v>84211.666865886786</v>
      </c>
      <c r="AM16">
        <f t="shared" si="19"/>
        <v>84211.666865886786</v>
      </c>
    </row>
    <row r="17" spans="1:71 16384:16384">
      <c r="A17" t="s">
        <v>38</v>
      </c>
      <c r="B17" s="6">
        <f>+B15-B16</f>
        <v>2828</v>
      </c>
      <c r="C17" s="6">
        <f>+C15-C16</f>
        <v>2920</v>
      </c>
      <c r="D17" s="6">
        <f>+D15-D16</f>
        <v>3170</v>
      </c>
      <c r="E17" s="6">
        <f>+E15-E16</f>
        <v>3300</v>
      </c>
      <c r="F17" s="6">
        <f>+F15-F16</f>
        <v>3564</v>
      </c>
      <c r="G17" s="6">
        <f>+G15-G16</f>
        <v>3715</v>
      </c>
      <c r="H17" s="6">
        <f>+H15-H16</f>
        <v>3666</v>
      </c>
      <c r="I17" s="6">
        <f>+I15-I16</f>
        <v>3879</v>
      </c>
      <c r="J17" s="6">
        <f>+J15-J16</f>
        <v>3963</v>
      </c>
      <c r="K17" s="6">
        <f>+K15-K16</f>
        <v>4212</v>
      </c>
      <c r="L17" s="6">
        <f>+L15-L16</f>
        <v>4427</v>
      </c>
      <c r="U17">
        <f>+U15-U16</f>
        <v>12218</v>
      </c>
      <c r="V17">
        <f>+V15-V16</f>
        <v>14824</v>
      </c>
      <c r="W17">
        <f t="shared" si="12"/>
        <v>17047.599999999999</v>
      </c>
      <c r="X17">
        <f t="shared" si="13"/>
        <v>19604.739999999998</v>
      </c>
      <c r="Y17">
        <f t="shared" si="14"/>
        <v>22545.450999999997</v>
      </c>
      <c r="Z17">
        <f t="shared" si="15"/>
        <v>25927.268649999995</v>
      </c>
      <c r="AA17">
        <f t="shared" si="16"/>
        <v>29816.35894749999</v>
      </c>
      <c r="AB17">
        <f t="shared" ref="AB17:AF17" si="20">+AA17*1.1</f>
        <v>32797.994842249995</v>
      </c>
      <c r="AC17">
        <f t="shared" si="20"/>
        <v>36077.794326474999</v>
      </c>
      <c r="AD17">
        <f t="shared" si="20"/>
        <v>39685.573759122504</v>
      </c>
      <c r="AE17">
        <f t="shared" si="20"/>
        <v>43654.131135034761</v>
      </c>
      <c r="AF17">
        <f t="shared" si="20"/>
        <v>48019.544248538237</v>
      </c>
      <c r="AG17">
        <f t="shared" ref="AG17:AI17" si="21">+AF17*1.05</f>
        <v>50420.521460965152</v>
      </c>
      <c r="AH17">
        <f t="shared" si="21"/>
        <v>52941.547534013414</v>
      </c>
      <c r="AI17">
        <f t="shared" si="21"/>
        <v>55588.62491071409</v>
      </c>
      <c r="AJ17">
        <f t="shared" ref="AJ17:AM17" si="22">+AI17*1</f>
        <v>55588.62491071409</v>
      </c>
      <c r="AK17">
        <f t="shared" si="22"/>
        <v>55588.62491071409</v>
      </c>
      <c r="AL17">
        <f t="shared" si="22"/>
        <v>55588.62491071409</v>
      </c>
      <c r="AM17">
        <f t="shared" si="22"/>
        <v>55588.62491071409</v>
      </c>
    </row>
    <row r="18" spans="1:71 16384:16384">
      <c r="A18" t="s">
        <v>39</v>
      </c>
      <c r="B18" s="6">
        <v>574</v>
      </c>
      <c r="C18" s="6">
        <v>617</v>
      </c>
      <c r="D18" s="6">
        <v>617</v>
      </c>
      <c r="E18" s="6">
        <f>2413-D18-C18-B18</f>
        <v>605</v>
      </c>
      <c r="F18" s="6">
        <v>640</v>
      </c>
      <c r="G18" s="6">
        <v>664</v>
      </c>
      <c r="H18" s="6">
        <v>683</v>
      </c>
      <c r="I18" s="6">
        <f>2689-H18-G18-F18</f>
        <v>702</v>
      </c>
      <c r="J18" s="6">
        <v>685</v>
      </c>
      <c r="K18" s="6">
        <v>682</v>
      </c>
      <c r="L18" s="6">
        <v>687</v>
      </c>
      <c r="U18">
        <f>SUM(B18:E18)</f>
        <v>2413</v>
      </c>
      <c r="V18">
        <f t="shared" ref="V18:V21" si="23">SUM(F18:I18)</f>
        <v>2689</v>
      </c>
      <c r="W18">
        <f t="shared" si="12"/>
        <v>3092.35</v>
      </c>
      <c r="X18">
        <f t="shared" si="13"/>
        <v>3556.2024999999994</v>
      </c>
      <c r="Y18">
        <f t="shared" si="14"/>
        <v>4089.6328749999989</v>
      </c>
      <c r="Z18">
        <f t="shared" si="15"/>
        <v>4703.0778062499985</v>
      </c>
      <c r="AA18">
        <f t="shared" si="16"/>
        <v>5408.5394771874981</v>
      </c>
      <c r="AB18">
        <f t="shared" ref="AB18:AF18" si="24">+AA18*1.1</f>
        <v>5949.3934249062486</v>
      </c>
      <c r="AC18">
        <f t="shared" si="24"/>
        <v>6544.3327673968743</v>
      </c>
      <c r="AD18">
        <f t="shared" si="24"/>
        <v>7198.7660441365624</v>
      </c>
      <c r="AE18">
        <f t="shared" si="24"/>
        <v>7918.6426485502197</v>
      </c>
      <c r="AF18">
        <f t="shared" si="24"/>
        <v>8710.5069134052428</v>
      </c>
      <c r="AG18">
        <f t="shared" ref="AG18:AI18" si="25">+AF18*1.05</f>
        <v>9146.0322590755059</v>
      </c>
      <c r="AH18">
        <f t="shared" si="25"/>
        <v>9603.3338720292813</v>
      </c>
      <c r="AI18">
        <f t="shared" si="25"/>
        <v>10083.500565630746</v>
      </c>
      <c r="AJ18">
        <f t="shared" ref="AJ18:AM18" si="26">+AI18*1</f>
        <v>10083.500565630746</v>
      </c>
      <c r="AK18">
        <f t="shared" si="26"/>
        <v>10083.500565630746</v>
      </c>
      <c r="AL18">
        <f t="shared" si="26"/>
        <v>10083.500565630746</v>
      </c>
      <c r="AM18">
        <f t="shared" si="26"/>
        <v>10083.500565630746</v>
      </c>
    </row>
    <row r="19" spans="1:71 16384:16384">
      <c r="A19" t="s">
        <v>40</v>
      </c>
      <c r="B19" s="6">
        <v>1263</v>
      </c>
      <c r="C19" s="6">
        <v>1218</v>
      </c>
      <c r="D19" s="6">
        <v>1153</v>
      </c>
      <c r="E19" s="6">
        <f>4756-D19-C19-B19</f>
        <v>1122</v>
      </c>
      <c r="F19" s="6">
        <v>1262</v>
      </c>
      <c r="G19" s="6">
        <v>1218</v>
      </c>
      <c r="H19" s="6">
        <v>941</v>
      </c>
      <c r="I19" s="6">
        <f>4356-H19-G19-F19</f>
        <v>935</v>
      </c>
      <c r="J19" s="6">
        <v>917</v>
      </c>
      <c r="K19" s="6">
        <v>1115</v>
      </c>
      <c r="L19" s="6">
        <v>1096</v>
      </c>
      <c r="U19">
        <f>SUM(B19:E19)</f>
        <v>4756</v>
      </c>
      <c r="V19">
        <f t="shared" si="23"/>
        <v>4356</v>
      </c>
      <c r="W19">
        <f t="shared" si="12"/>
        <v>5009.3999999999996</v>
      </c>
      <c r="X19">
        <f t="shared" si="13"/>
        <v>5760.8099999999995</v>
      </c>
      <c r="Y19">
        <f t="shared" si="14"/>
        <v>6624.9314999999988</v>
      </c>
      <c r="Z19">
        <f t="shared" si="15"/>
        <v>7618.6712249999982</v>
      </c>
      <c r="AA19">
        <f t="shared" si="16"/>
        <v>8761.471908749998</v>
      </c>
      <c r="AB19">
        <f t="shared" ref="AB19:AF19" si="27">+AA19*1.1</f>
        <v>9637.6190996249989</v>
      </c>
      <c r="AC19">
        <f t="shared" si="27"/>
        <v>10601.3810095875</v>
      </c>
      <c r="AD19">
        <f t="shared" si="27"/>
        <v>11661.519110546251</v>
      </c>
      <c r="AE19">
        <f t="shared" si="27"/>
        <v>12827.671021600878</v>
      </c>
      <c r="AF19">
        <f t="shared" si="27"/>
        <v>14110.438123760967</v>
      </c>
      <c r="AG19">
        <f t="shared" ref="AG19:AI19" si="28">+AF19*1.05</f>
        <v>14815.960029949016</v>
      </c>
      <c r="AH19">
        <f t="shared" si="28"/>
        <v>15556.758031446467</v>
      </c>
      <c r="AI19">
        <f t="shared" si="28"/>
        <v>16334.595933018791</v>
      </c>
      <c r="AJ19">
        <f t="shared" ref="AJ19:AM19" si="29">+AI19*1</f>
        <v>16334.595933018791</v>
      </c>
      <c r="AK19">
        <f t="shared" si="29"/>
        <v>16334.595933018791</v>
      </c>
      <c r="AL19">
        <f t="shared" si="29"/>
        <v>16334.595933018791</v>
      </c>
      <c r="AM19">
        <f t="shared" si="29"/>
        <v>16334.595933018791</v>
      </c>
    </row>
    <row r="20" spans="1:71 16384:16384">
      <c r="A20" t="s">
        <v>41</v>
      </c>
      <c r="B20" s="6">
        <v>587</v>
      </c>
      <c r="C20" s="6">
        <v>704</v>
      </c>
      <c r="D20" s="6">
        <v>760</v>
      </c>
      <c r="E20" s="6">
        <f>2798-D20-C20-B20</f>
        <v>747</v>
      </c>
      <c r="F20" s="6">
        <v>775</v>
      </c>
      <c r="G20" s="6">
        <v>808</v>
      </c>
      <c r="H20" s="6">
        <v>797</v>
      </c>
      <c r="I20" s="6">
        <f>3164-H20-G20-F20</f>
        <v>784</v>
      </c>
      <c r="J20" s="6">
        <v>790</v>
      </c>
      <c r="K20" s="6">
        <v>760</v>
      </c>
      <c r="L20" s="6">
        <v>774</v>
      </c>
      <c r="U20">
        <f>SUM(B20:E20)</f>
        <v>2798</v>
      </c>
      <c r="V20">
        <f t="shared" si="23"/>
        <v>3164</v>
      </c>
      <c r="W20">
        <f t="shared" si="12"/>
        <v>3638.6</v>
      </c>
      <c r="X20">
        <f t="shared" si="13"/>
        <v>4184.3899999999994</v>
      </c>
      <c r="Y20">
        <f t="shared" si="14"/>
        <v>4812.048499999999</v>
      </c>
      <c r="Z20">
        <f t="shared" si="15"/>
        <v>5533.8557749999982</v>
      </c>
      <c r="AA20">
        <f t="shared" si="16"/>
        <v>6363.9341412499971</v>
      </c>
      <c r="AB20">
        <f t="shared" ref="AB20:AF20" si="30">+AA20*1.1</f>
        <v>7000.3275553749972</v>
      </c>
      <c r="AC20">
        <f t="shared" si="30"/>
        <v>7700.3603109124979</v>
      </c>
      <c r="AD20">
        <f t="shared" si="30"/>
        <v>8470.3963420037489</v>
      </c>
      <c r="AE20">
        <f t="shared" si="30"/>
        <v>9317.435976204124</v>
      </c>
      <c r="AF20">
        <f t="shared" si="30"/>
        <v>10249.179573824536</v>
      </c>
      <c r="AG20">
        <f t="shared" ref="AG20:AI20" si="31">+AF20*1.05</f>
        <v>10761.638552515764</v>
      </c>
      <c r="AH20">
        <f t="shared" si="31"/>
        <v>11299.720480141552</v>
      </c>
      <c r="AI20">
        <f t="shared" si="31"/>
        <v>11864.706504148629</v>
      </c>
      <c r="AJ20">
        <f t="shared" ref="AJ20:AM20" si="32">+AI20*1</f>
        <v>11864.706504148629</v>
      </c>
      <c r="AK20">
        <f t="shared" si="32"/>
        <v>11864.706504148629</v>
      </c>
      <c r="AL20">
        <f t="shared" si="32"/>
        <v>11864.706504148629</v>
      </c>
      <c r="AM20">
        <f t="shared" si="32"/>
        <v>11864.706504148629</v>
      </c>
    </row>
    <row r="21" spans="1:71 16384:16384">
      <c r="A21" t="s">
        <v>42</v>
      </c>
      <c r="B21" s="6">
        <v>632</v>
      </c>
      <c r="C21" s="6">
        <v>851</v>
      </c>
      <c r="D21" s="6">
        <v>908</v>
      </c>
      <c r="E21" s="6">
        <f>3136-D21-C21-B21</f>
        <v>745</v>
      </c>
      <c r="F21" s="6">
        <v>942</v>
      </c>
      <c r="G21" s="6">
        <v>491</v>
      </c>
      <c r="H21" s="6">
        <v>646</v>
      </c>
      <c r="I21" s="6">
        <f>2682-H21-G21-F21</f>
        <v>603</v>
      </c>
      <c r="J21" s="6">
        <v>1209</v>
      </c>
      <c r="K21" s="6">
        <v>686</v>
      </c>
      <c r="L21" s="6">
        <v>630</v>
      </c>
      <c r="U21">
        <f>SUM(B21:E21)</f>
        <v>3136</v>
      </c>
      <c r="V21">
        <f t="shared" si="23"/>
        <v>2682</v>
      </c>
      <c r="W21">
        <f t="shared" si="12"/>
        <v>3084.2999999999997</v>
      </c>
      <c r="X21">
        <f t="shared" si="13"/>
        <v>3546.9449999999993</v>
      </c>
      <c r="Y21">
        <f t="shared" si="14"/>
        <v>4078.9867499999987</v>
      </c>
      <c r="Z21">
        <f t="shared" si="15"/>
        <v>4690.8347624999979</v>
      </c>
      <c r="AA21">
        <f t="shared" si="16"/>
        <v>5394.4599768749968</v>
      </c>
      <c r="AB21">
        <f t="shared" ref="AB21:AF21" si="33">+AA21*1.1</f>
        <v>5933.9059745624972</v>
      </c>
      <c r="AC21">
        <f t="shared" si="33"/>
        <v>6527.2965720187476</v>
      </c>
      <c r="AD21">
        <f t="shared" si="33"/>
        <v>7180.0262292206226</v>
      </c>
      <c r="AE21">
        <f t="shared" si="33"/>
        <v>7898.0288521426855</v>
      </c>
      <c r="AF21">
        <f t="shared" si="33"/>
        <v>8687.8317373569553</v>
      </c>
      <c r="AG21">
        <f t="shared" ref="AG21:AI21" si="34">+AF21*1.05</f>
        <v>9122.2233242248039</v>
      </c>
      <c r="AH21">
        <f t="shared" si="34"/>
        <v>9578.3344904360438</v>
      </c>
      <c r="AI21">
        <f t="shared" si="34"/>
        <v>10057.251214957847</v>
      </c>
      <c r="AJ21">
        <f t="shared" ref="AJ21:AM21" si="35">+AI21*1</f>
        <v>10057.251214957847</v>
      </c>
      <c r="AK21">
        <f t="shared" si="35"/>
        <v>10057.251214957847</v>
      </c>
      <c r="AL21">
        <f t="shared" si="35"/>
        <v>10057.251214957847</v>
      </c>
      <c r="AM21">
        <f t="shared" si="35"/>
        <v>10057.251214957847</v>
      </c>
    </row>
    <row r="22" spans="1:71 16384:16384">
      <c r="A22" t="s">
        <v>43</v>
      </c>
      <c r="B22" s="6">
        <f>+B18+B19+B20+B21</f>
        <v>3056</v>
      </c>
      <c r="C22" s="6">
        <f>+C18+C19+C20+C21</f>
        <v>3390</v>
      </c>
      <c r="D22" s="6">
        <f>+D18+D19+D20+D21</f>
        <v>3438</v>
      </c>
      <c r="E22" s="6">
        <f>+E18+E19+E20+E21</f>
        <v>3219</v>
      </c>
      <c r="F22" s="6">
        <f>+F18+F19+F20+F21</f>
        <v>3619</v>
      </c>
      <c r="G22" s="6">
        <f>+G18+G19+G20+G21</f>
        <v>3181</v>
      </c>
      <c r="H22" s="6">
        <f>+H18+H19+H20+H21</f>
        <v>3067</v>
      </c>
      <c r="I22" s="6">
        <f>+I18+I19+I20+I21</f>
        <v>3024</v>
      </c>
      <c r="J22" s="6">
        <f>+J18+J19+J20+J21</f>
        <v>3601</v>
      </c>
      <c r="K22" s="6">
        <f>+K18+K19+K20+K21</f>
        <v>3243</v>
      </c>
      <c r="L22" s="6">
        <f>+L18+L19+L20+L21</f>
        <v>3187</v>
      </c>
      <c r="U22">
        <f>+U18+U19+U20+U21</f>
        <v>13103</v>
      </c>
      <c r="V22">
        <f>+V18+V19+V20+V21</f>
        <v>12891</v>
      </c>
      <c r="W22">
        <f t="shared" si="12"/>
        <v>14824.65</v>
      </c>
      <c r="X22">
        <f t="shared" si="13"/>
        <v>17048.3475</v>
      </c>
      <c r="Y22">
        <f t="shared" si="14"/>
        <v>19605.599624999999</v>
      </c>
      <c r="Z22">
        <f t="shared" si="15"/>
        <v>22546.439568749996</v>
      </c>
      <c r="AA22">
        <f t="shared" si="16"/>
        <v>25928.405504062495</v>
      </c>
      <c r="AB22">
        <f t="shared" ref="AB22:AF22" si="36">+AA22*1.1</f>
        <v>28521.246054468746</v>
      </c>
      <c r="AC22">
        <f t="shared" si="36"/>
        <v>31373.370659915621</v>
      </c>
      <c r="AD22">
        <f t="shared" si="36"/>
        <v>34510.707725907188</v>
      </c>
      <c r="AE22">
        <f t="shared" si="36"/>
        <v>37961.778498497908</v>
      </c>
      <c r="AF22">
        <f t="shared" si="36"/>
        <v>41757.956348347703</v>
      </c>
      <c r="AG22">
        <f t="shared" ref="AG22:AI22" si="37">+AF22*1.05</f>
        <v>43845.854165765093</v>
      </c>
      <c r="AH22">
        <f t="shared" si="37"/>
        <v>46038.146874053353</v>
      </c>
      <c r="AI22">
        <f t="shared" si="37"/>
        <v>48340.05421775602</v>
      </c>
      <c r="AJ22">
        <f t="shared" ref="AJ22:AM22" si="38">+AI22*1</f>
        <v>48340.05421775602</v>
      </c>
      <c r="AK22">
        <f t="shared" si="38"/>
        <v>48340.05421775602</v>
      </c>
      <c r="AL22">
        <f t="shared" si="38"/>
        <v>48340.05421775602</v>
      </c>
      <c r="AM22">
        <f t="shared" si="38"/>
        <v>48340.05421775602</v>
      </c>
    </row>
    <row r="23" spans="1:71 16384:16384">
      <c r="A23" t="s">
        <v>44</v>
      </c>
      <c r="B23" s="6">
        <f t="shared" ref="B23:K23" si="39">+B17-B22</f>
        <v>-228</v>
      </c>
      <c r="C23" s="6">
        <f t="shared" si="39"/>
        <v>-470</v>
      </c>
      <c r="D23" s="6">
        <f t="shared" si="39"/>
        <v>-268</v>
      </c>
      <c r="E23" s="6">
        <f t="shared" ref="E23" si="40">+E17-E22</f>
        <v>81</v>
      </c>
      <c r="F23" s="6">
        <f t="shared" si="39"/>
        <v>-55</v>
      </c>
      <c r="G23" s="6">
        <f t="shared" si="39"/>
        <v>534</v>
      </c>
      <c r="H23" s="6">
        <f t="shared" si="39"/>
        <v>599</v>
      </c>
      <c r="I23" s="6">
        <f t="shared" si="39"/>
        <v>855</v>
      </c>
      <c r="J23" s="6">
        <f t="shared" si="39"/>
        <v>362</v>
      </c>
      <c r="K23" s="6">
        <f t="shared" si="39"/>
        <v>969</v>
      </c>
      <c r="L23" s="6">
        <f>+L17-L22</f>
        <v>1240</v>
      </c>
      <c r="N23" t="s">
        <v>6</v>
      </c>
      <c r="U23">
        <f>+U17-U22</f>
        <v>-885</v>
      </c>
      <c r="V23">
        <f>+V17-V22</f>
        <v>1933</v>
      </c>
      <c r="W23">
        <f t="shared" si="12"/>
        <v>2222.9499999999998</v>
      </c>
      <c r="X23">
        <f t="shared" si="13"/>
        <v>2556.3924999999995</v>
      </c>
      <c r="Y23">
        <f t="shared" si="14"/>
        <v>2939.8513749999993</v>
      </c>
      <c r="Z23">
        <f t="shared" si="15"/>
        <v>3380.829081249999</v>
      </c>
      <c r="AA23">
        <f t="shared" si="16"/>
        <v>3887.9534434374987</v>
      </c>
      <c r="AB23">
        <f t="shared" ref="AB23:AF23" si="41">+AA23*1.1</f>
        <v>4276.7487877812491</v>
      </c>
      <c r="AC23">
        <f t="shared" si="41"/>
        <v>4704.4236665593744</v>
      </c>
      <c r="AD23">
        <f t="shared" si="41"/>
        <v>5174.8660332153122</v>
      </c>
      <c r="AE23">
        <f t="shared" si="41"/>
        <v>5692.3526365368443</v>
      </c>
      <c r="AF23">
        <f t="shared" si="41"/>
        <v>6261.5879001905296</v>
      </c>
      <c r="AG23">
        <f t="shared" ref="AG23:AI23" si="42">+AF23*1.05</f>
        <v>6574.6672952000563</v>
      </c>
      <c r="AH23">
        <f t="shared" si="42"/>
        <v>6903.4006599600598</v>
      </c>
      <c r="AI23">
        <f t="shared" si="42"/>
        <v>7248.5706929580629</v>
      </c>
      <c r="AJ23">
        <f t="shared" ref="AJ23:AM23" si="43">+AI23*1</f>
        <v>7248.5706929580629</v>
      </c>
      <c r="AK23">
        <f t="shared" si="43"/>
        <v>7248.5706929580629</v>
      </c>
      <c r="AL23">
        <f t="shared" si="43"/>
        <v>7248.5706929580629</v>
      </c>
      <c r="AM23">
        <f t="shared" si="43"/>
        <v>7248.5706929580629</v>
      </c>
    </row>
    <row r="24" spans="1:71 16384:16384">
      <c r="A24" t="s">
        <v>45</v>
      </c>
      <c r="B24" s="6">
        <v>-129</v>
      </c>
      <c r="C24" s="6">
        <v>-139</v>
      </c>
      <c r="D24" s="6">
        <v>-146</v>
      </c>
      <c r="E24" s="6">
        <f>-565-D24-C24-B24</f>
        <v>-151</v>
      </c>
      <c r="F24" s="6">
        <v>-168</v>
      </c>
      <c r="G24" s="6">
        <v>-144</v>
      </c>
      <c r="H24" s="6">
        <v>-166</v>
      </c>
      <c r="I24" s="6">
        <f>-633-H24-G24-F24</f>
        <v>-155</v>
      </c>
      <c r="J24" s="6">
        <v>-124</v>
      </c>
      <c r="K24" s="6">
        <v>-139</v>
      </c>
      <c r="L24" s="6">
        <v>-143</v>
      </c>
      <c r="M24" t="s">
        <v>6</v>
      </c>
      <c r="U24">
        <f>SUM(B24:E24)</f>
        <v>-565</v>
      </c>
      <c r="V24">
        <f>SUM(F24:I24)</f>
        <v>-633</v>
      </c>
      <c r="W24">
        <f t="shared" si="12"/>
        <v>-727.94999999999993</v>
      </c>
      <c r="X24">
        <f t="shared" si="13"/>
        <v>-837.14249999999981</v>
      </c>
      <c r="Y24">
        <f t="shared" si="14"/>
        <v>-962.71387499999969</v>
      </c>
      <c r="Z24">
        <f t="shared" si="15"/>
        <v>-1107.1209562499996</v>
      </c>
      <c r="AA24">
        <f t="shared" si="16"/>
        <v>-1273.1890996874995</v>
      </c>
      <c r="AB24">
        <f t="shared" ref="AB24:AF24" si="44">+AA24*1.1</f>
        <v>-1400.5080096562494</v>
      </c>
      <c r="AC24">
        <f t="shared" si="44"/>
        <v>-1540.5588106218745</v>
      </c>
      <c r="AD24">
        <f t="shared" si="44"/>
        <v>-1694.6146916840621</v>
      </c>
      <c r="AE24">
        <f t="shared" si="44"/>
        <v>-1864.0761608524685</v>
      </c>
      <c r="AF24">
        <f t="shared" si="44"/>
        <v>-2050.4837769377154</v>
      </c>
      <c r="AG24">
        <f t="shared" ref="AG24:AI24" si="45">+AF24*1.05</f>
        <v>-2153.0079657846013</v>
      </c>
      <c r="AH24">
        <f t="shared" si="45"/>
        <v>-2260.6583640738313</v>
      </c>
      <c r="AI24">
        <f t="shared" si="45"/>
        <v>-2373.691282277523</v>
      </c>
      <c r="AJ24">
        <f t="shared" ref="AJ24:AM24" si="46">+AI24*1</f>
        <v>-2373.691282277523</v>
      </c>
      <c r="AK24">
        <f t="shared" si="46"/>
        <v>-2373.691282277523</v>
      </c>
      <c r="AL24">
        <f t="shared" si="46"/>
        <v>-2373.691282277523</v>
      </c>
      <c r="AM24">
        <f t="shared" si="46"/>
        <v>-2373.691282277523</v>
      </c>
    </row>
    <row r="25" spans="1:71 16384:16384">
      <c r="A25" t="s">
        <v>46</v>
      </c>
      <c r="B25" s="6">
        <v>-5557</v>
      </c>
      <c r="C25" s="6">
        <f>-1704</f>
        <v>-1704</v>
      </c>
      <c r="D25" s="6">
        <v>-535</v>
      </c>
      <c r="E25" s="6">
        <f>-7029-D25-C25-B25</f>
        <v>767</v>
      </c>
      <c r="F25" s="6">
        <v>292</v>
      </c>
      <c r="G25" s="6">
        <v>273</v>
      </c>
      <c r="H25" s="6">
        <v>-52</v>
      </c>
      <c r="I25" s="6">
        <f>1844-H25-G25-F25</f>
        <v>1331</v>
      </c>
      <c r="J25" s="6">
        <v>-678</v>
      </c>
      <c r="K25" s="6">
        <v>420</v>
      </c>
      <c r="L25" s="6">
        <v>1851</v>
      </c>
      <c r="U25">
        <f>SUM(B25:E25)</f>
        <v>-7029</v>
      </c>
      <c r="V25">
        <f>SUM(F25:I25)</f>
        <v>1844</v>
      </c>
      <c r="W25">
        <f t="shared" si="12"/>
        <v>2120.6</v>
      </c>
      <c r="X25">
        <f t="shared" si="13"/>
        <v>2438.6899999999996</v>
      </c>
      <c r="Y25">
        <f t="shared" si="14"/>
        <v>2804.4934999999991</v>
      </c>
      <c r="Z25">
        <f t="shared" si="15"/>
        <v>3225.1675249999989</v>
      </c>
      <c r="AA25">
        <f t="shared" si="16"/>
        <v>3708.9426537499985</v>
      </c>
      <c r="AB25">
        <f t="shared" ref="AB25:AF25" si="47">+AA25*1.1</f>
        <v>4079.8369191249985</v>
      </c>
      <c r="AC25">
        <f t="shared" si="47"/>
        <v>4487.8206110374986</v>
      </c>
      <c r="AD25">
        <f t="shared" si="47"/>
        <v>4936.6026721412491</v>
      </c>
      <c r="AE25">
        <f t="shared" si="47"/>
        <v>5430.2629393553743</v>
      </c>
      <c r="AF25">
        <f t="shared" si="47"/>
        <v>5973.2892332909123</v>
      </c>
      <c r="AG25">
        <f t="shared" ref="AG25:AI25" si="48">+AF25*1.05</f>
        <v>6271.9536949554586</v>
      </c>
      <c r="AH25">
        <f t="shared" si="48"/>
        <v>6585.5513797032318</v>
      </c>
      <c r="AI25">
        <f t="shared" si="48"/>
        <v>6914.8289486883932</v>
      </c>
      <c r="AJ25">
        <f t="shared" ref="AJ25:AM25" si="49">+AI25*1</f>
        <v>6914.8289486883932</v>
      </c>
      <c r="AK25">
        <f t="shared" si="49"/>
        <v>6914.8289486883932</v>
      </c>
      <c r="AL25">
        <f t="shared" si="49"/>
        <v>6914.8289486883932</v>
      </c>
      <c r="AM25">
        <f t="shared" si="49"/>
        <v>6914.8289486883932</v>
      </c>
    </row>
    <row r="26" spans="1:71 16384:16384">
      <c r="A26" t="s">
        <v>47</v>
      </c>
      <c r="B26" s="6">
        <f>+B23+B24+B25</f>
        <v>-5914</v>
      </c>
      <c r="C26" s="6">
        <f>+C23+C24+C25</f>
        <v>-2313</v>
      </c>
      <c r="D26" s="6">
        <f>+D23+D24+D25</f>
        <v>-949</v>
      </c>
      <c r="E26" s="6">
        <f>+E23+E24+E25</f>
        <v>697</v>
      </c>
      <c r="F26" s="6">
        <f>+F23+F24+F25</f>
        <v>69</v>
      </c>
      <c r="G26" s="6">
        <f>+G23+G24+G25</f>
        <v>663</v>
      </c>
      <c r="H26" s="6">
        <f>+H23+H24+H25</f>
        <v>381</v>
      </c>
      <c r="I26" s="6">
        <f>+I23+I24+I25</f>
        <v>2031</v>
      </c>
      <c r="J26" s="6">
        <f>+J23+J24+J25</f>
        <v>-440</v>
      </c>
      <c r="K26" s="6">
        <f>+K23+K24+K25</f>
        <v>1250</v>
      </c>
      <c r="L26" s="6">
        <f>+L23+L24+L25</f>
        <v>2948</v>
      </c>
      <c r="U26">
        <f>+U23+U24+U25</f>
        <v>-8479</v>
      </c>
      <c r="V26">
        <f>+V23+V24+V25</f>
        <v>3144</v>
      </c>
      <c r="W26">
        <f t="shared" si="12"/>
        <v>3615.6</v>
      </c>
      <c r="X26">
        <f t="shared" si="13"/>
        <v>4157.9399999999996</v>
      </c>
      <c r="Y26">
        <f t="shared" si="14"/>
        <v>4781.6309999999994</v>
      </c>
      <c r="Z26">
        <f t="shared" si="15"/>
        <v>5498.875649999999</v>
      </c>
      <c r="AA26">
        <f t="shared" si="16"/>
        <v>6323.7069974999986</v>
      </c>
      <c r="AB26">
        <f t="shared" ref="AB26:AF26" si="50">+AA26*1.1</f>
        <v>6956.0776972499989</v>
      </c>
      <c r="AC26">
        <f t="shared" si="50"/>
        <v>7651.6854669749991</v>
      </c>
      <c r="AD26">
        <f t="shared" si="50"/>
        <v>8416.8540136725005</v>
      </c>
      <c r="AE26">
        <f t="shared" si="50"/>
        <v>9258.5394150397515</v>
      </c>
      <c r="AF26">
        <f t="shared" si="50"/>
        <v>10184.393356543727</v>
      </c>
      <c r="AG26">
        <f t="shared" ref="AG26:AI26" si="51">+AF26*1.05</f>
        <v>10693.613024370914</v>
      </c>
      <c r="AH26">
        <f t="shared" si="51"/>
        <v>11228.293675589461</v>
      </c>
      <c r="AI26">
        <f t="shared" si="51"/>
        <v>11789.708359368935</v>
      </c>
      <c r="AJ26">
        <f t="shared" ref="AJ26:AM26" si="52">+AI26*1</f>
        <v>11789.708359368935</v>
      </c>
      <c r="AK26">
        <f t="shared" si="52"/>
        <v>11789.708359368935</v>
      </c>
      <c r="AL26">
        <f t="shared" si="52"/>
        <v>11789.708359368935</v>
      </c>
      <c r="AM26">
        <f t="shared" si="52"/>
        <v>11789.708359368935</v>
      </c>
      <c r="XFD26" t="s">
        <v>6</v>
      </c>
    </row>
    <row r="27" spans="1:71 16384:16384">
      <c r="A27" t="s">
        <v>48</v>
      </c>
      <c r="B27" s="6">
        <v>77</v>
      </c>
      <c r="C27" s="6">
        <v>77</v>
      </c>
      <c r="D27" s="6">
        <v>58</v>
      </c>
      <c r="E27" s="6">
        <f>-181-D27-C27-B27</f>
        <v>-393</v>
      </c>
      <c r="F27" s="6">
        <v>55</v>
      </c>
      <c r="G27" s="6">
        <v>65</v>
      </c>
      <c r="H27" s="6">
        <v>-40</v>
      </c>
      <c r="I27" s="6">
        <f>213-H27-G27-F27</f>
        <v>133</v>
      </c>
      <c r="J27" s="6">
        <v>29</v>
      </c>
      <c r="K27" s="6">
        <v>57</v>
      </c>
      <c r="L27" s="6">
        <v>158</v>
      </c>
      <c r="U27">
        <f>SUM(B27:E27)</f>
        <v>-181</v>
      </c>
      <c r="V27">
        <f>SUM(F27:I27)</f>
        <v>213</v>
      </c>
      <c r="W27">
        <f t="shared" si="12"/>
        <v>244.95</v>
      </c>
      <c r="X27">
        <f t="shared" si="13"/>
        <v>281.69249999999994</v>
      </c>
      <c r="Y27">
        <f t="shared" si="14"/>
        <v>323.94637499999993</v>
      </c>
      <c r="Z27">
        <f t="shared" si="15"/>
        <v>372.53833124999989</v>
      </c>
      <c r="AA27">
        <f t="shared" si="16"/>
        <v>428.41908093749981</v>
      </c>
      <c r="AB27">
        <f t="shared" ref="AB27:AF27" si="53">+AA27*1.1</f>
        <v>471.26098903124984</v>
      </c>
      <c r="AC27">
        <f t="shared" si="53"/>
        <v>518.3870879343749</v>
      </c>
      <c r="AD27">
        <f t="shared" si="53"/>
        <v>570.22579672781239</v>
      </c>
      <c r="AE27">
        <f t="shared" si="53"/>
        <v>627.24837640059366</v>
      </c>
      <c r="AF27">
        <f t="shared" si="53"/>
        <v>689.97321404065303</v>
      </c>
      <c r="AG27">
        <f t="shared" ref="AG27:AI27" si="54">+AF27*1.05</f>
        <v>724.47187474268571</v>
      </c>
      <c r="AH27">
        <f t="shared" si="54"/>
        <v>760.69546847982008</v>
      </c>
      <c r="AI27">
        <f t="shared" si="54"/>
        <v>798.73024190381113</v>
      </c>
      <c r="AJ27">
        <f t="shared" ref="AJ27:AM27" si="55">+AI27*1</f>
        <v>798.73024190381113</v>
      </c>
      <c r="AK27">
        <f t="shared" si="55"/>
        <v>798.73024190381113</v>
      </c>
      <c r="AL27">
        <f t="shared" si="55"/>
        <v>798.73024190381113</v>
      </c>
      <c r="AM27">
        <f t="shared" si="55"/>
        <v>798.73024190381113</v>
      </c>
    </row>
    <row r="28" spans="1:71 16384:16384">
      <c r="A28" t="s">
        <v>49</v>
      </c>
      <c r="B28" s="6">
        <f>+B26-B27</f>
        <v>-5991</v>
      </c>
      <c r="C28" s="6">
        <f>+C26-C27</f>
        <v>-2390</v>
      </c>
      <c r="D28" s="6">
        <f>+D26-D27</f>
        <v>-1007</v>
      </c>
      <c r="E28" s="6">
        <f>+E26-E27</f>
        <v>1090</v>
      </c>
      <c r="F28" s="6">
        <f>+F26-F27</f>
        <v>14</v>
      </c>
      <c r="G28" s="6">
        <f>+G26-G27</f>
        <v>598</v>
      </c>
      <c r="H28" s="6">
        <f>+H26-H27</f>
        <v>421</v>
      </c>
      <c r="I28" s="6">
        <f>+I26-I27</f>
        <v>1898</v>
      </c>
      <c r="J28" s="6">
        <f>+J26-J27</f>
        <v>-469</v>
      </c>
      <c r="K28" s="6">
        <f>+K26-K27</f>
        <v>1193</v>
      </c>
      <c r="L28" s="6">
        <f>+L26-L27</f>
        <v>2790</v>
      </c>
      <c r="U28">
        <f>+U26-U27</f>
        <v>-8298</v>
      </c>
      <c r="V28">
        <f>+V26-V27</f>
        <v>2931</v>
      </c>
      <c r="W28">
        <f t="shared" si="12"/>
        <v>3370.6499999999996</v>
      </c>
      <c r="X28">
        <f t="shared" si="13"/>
        <v>3876.2474999999995</v>
      </c>
      <c r="Y28">
        <f t="shared" si="14"/>
        <v>4457.684624999999</v>
      </c>
      <c r="Z28">
        <f t="shared" si="15"/>
        <v>5126.3373187499983</v>
      </c>
      <c r="AA28">
        <f t="shared" si="16"/>
        <v>5895.2879165624972</v>
      </c>
      <c r="AB28">
        <f t="shared" ref="AB28:AF28" si="56">+AA28*1.1</f>
        <v>6484.8167082187474</v>
      </c>
      <c r="AC28">
        <f t="shared" si="56"/>
        <v>7133.2983790406224</v>
      </c>
      <c r="AD28">
        <f t="shared" si="56"/>
        <v>7846.6282169446849</v>
      </c>
      <c r="AE28">
        <f t="shared" si="56"/>
        <v>8631.2910386391541</v>
      </c>
      <c r="AF28">
        <f t="shared" si="56"/>
        <v>9494.4201425030697</v>
      </c>
      <c r="AG28">
        <f t="shared" ref="AG28:AI28" si="57">+AF28*1.05</f>
        <v>9969.1411496282235</v>
      </c>
      <c r="AH28">
        <f t="shared" si="57"/>
        <v>10467.598207109635</v>
      </c>
      <c r="AI28">
        <f t="shared" si="57"/>
        <v>10990.978117465118</v>
      </c>
      <c r="AJ28">
        <f t="shared" ref="AJ28:AM28" si="58">+AI28*1</f>
        <v>10990.978117465118</v>
      </c>
      <c r="AK28">
        <f t="shared" si="58"/>
        <v>10990.978117465118</v>
      </c>
      <c r="AL28">
        <f t="shared" si="58"/>
        <v>10990.978117465118</v>
      </c>
      <c r="AM28">
        <f t="shared" si="58"/>
        <v>10990.978117465118</v>
      </c>
      <c r="AN28">
        <f>+AM28*0.98</f>
        <v>10771.158555115815</v>
      </c>
      <c r="AO28">
        <f t="shared" ref="AO28:BS28" si="59">+AN28*0.98</f>
        <v>10555.735384013498</v>
      </c>
      <c r="AP28">
        <f t="shared" si="59"/>
        <v>10344.620676333228</v>
      </c>
      <c r="AQ28">
        <f t="shared" si="59"/>
        <v>10137.728262806564</v>
      </c>
      <c r="AR28">
        <f t="shared" si="59"/>
        <v>9934.9736975504329</v>
      </c>
      <c r="AS28">
        <f t="shared" si="59"/>
        <v>9736.2742235994247</v>
      </c>
      <c r="AT28">
        <f t="shared" si="59"/>
        <v>9541.5487391274364</v>
      </c>
      <c r="AU28">
        <f t="shared" si="59"/>
        <v>9350.7177643448867</v>
      </c>
      <c r="AV28">
        <f t="shared" si="59"/>
        <v>9163.7034090579891</v>
      </c>
      <c r="AW28">
        <f t="shared" si="59"/>
        <v>8980.4293408768299</v>
      </c>
      <c r="AX28">
        <f t="shared" si="59"/>
        <v>8800.8207540592939</v>
      </c>
      <c r="AY28">
        <f t="shared" si="59"/>
        <v>8624.8043389781087</v>
      </c>
      <c r="AZ28">
        <f t="shared" si="59"/>
        <v>8452.3082521985471</v>
      </c>
      <c r="BA28">
        <f t="shared" si="59"/>
        <v>8283.2620871545751</v>
      </c>
      <c r="BB28">
        <f t="shared" si="59"/>
        <v>8117.5968454114836</v>
      </c>
      <c r="BC28">
        <f t="shared" si="59"/>
        <v>7955.244908503254</v>
      </c>
      <c r="BD28">
        <f t="shared" si="59"/>
        <v>7796.1400103331889</v>
      </c>
      <c r="BE28">
        <f t="shared" si="59"/>
        <v>7640.2172101265251</v>
      </c>
      <c r="BF28">
        <f t="shared" si="59"/>
        <v>7487.4128659239941</v>
      </c>
      <c r="BG28">
        <f t="shared" si="59"/>
        <v>7337.6646086055143</v>
      </c>
      <c r="BH28">
        <f t="shared" si="59"/>
        <v>7190.911316433404</v>
      </c>
      <c r="BI28">
        <f t="shared" si="59"/>
        <v>7047.0930901047359</v>
      </c>
      <c r="BJ28">
        <f t="shared" si="59"/>
        <v>6906.1512283026414</v>
      </c>
      <c r="BK28">
        <f t="shared" si="59"/>
        <v>6768.0282037365887</v>
      </c>
      <c r="BL28">
        <f t="shared" si="59"/>
        <v>6632.6676396618568</v>
      </c>
      <c r="BM28">
        <f t="shared" si="59"/>
        <v>6500.0142868686198</v>
      </c>
      <c r="BN28">
        <f t="shared" si="59"/>
        <v>6370.0140011312469</v>
      </c>
      <c r="BO28">
        <f t="shared" si="59"/>
        <v>6242.6137211086216</v>
      </c>
      <c r="BP28">
        <f t="shared" si="59"/>
        <v>6117.7614466864488</v>
      </c>
      <c r="BQ28">
        <f t="shared" si="59"/>
        <v>5995.4062177527194</v>
      </c>
      <c r="BR28">
        <f t="shared" si="59"/>
        <v>5875.4980933976649</v>
      </c>
      <c r="BS28">
        <f t="shared" si="59"/>
        <v>5757.9881315297116</v>
      </c>
    </row>
    <row r="29" spans="1:71 16384:16384">
      <c r="A29" t="s">
        <v>50</v>
      </c>
      <c r="B29" s="6">
        <f>+B28/B30</f>
        <v>-3.0660356839265726</v>
      </c>
      <c r="C29" s="6">
        <f>+C28/C30</f>
        <v>-1.2167159462079189</v>
      </c>
      <c r="D29" s="6">
        <f>+D28/D30</f>
        <v>-0.49249567660200477</v>
      </c>
      <c r="E29" s="6">
        <f>+E28/E30</f>
        <v>0.55270162073411955</v>
      </c>
      <c r="F29" s="6">
        <f>+F28/F30</f>
        <v>6.9667095782801882E-3</v>
      </c>
      <c r="G29" s="6">
        <f>+G28/G30</f>
        <v>0.29548184540765376</v>
      </c>
      <c r="H29" s="6">
        <f>+H28/H30</f>
        <v>0.20589938416032175</v>
      </c>
      <c r="I29" s="6">
        <f>+I28/I30</f>
        <v>0.93237986275643514</v>
      </c>
      <c r="J29" s="6">
        <f>+J28/J30</f>
        <v>-0.22564707546475357</v>
      </c>
      <c r="K29" s="6">
        <f>+K28/K30</f>
        <v>0.57021862363658959</v>
      </c>
      <c r="L29" s="6">
        <f>+L28/L30</f>
        <v>1.3275220539954133</v>
      </c>
      <c r="U29">
        <f>+U28/U30</f>
        <v>-4.18292772679201</v>
      </c>
      <c r="V29">
        <f>+V28/V30</f>
        <v>1.4449618540669871</v>
      </c>
      <c r="W29">
        <f t="shared" si="12"/>
        <v>1.661706132177035</v>
      </c>
      <c r="X29">
        <f t="shared" si="13"/>
        <v>1.9109620520035902</v>
      </c>
      <c r="Y29">
        <f t="shared" si="14"/>
        <v>2.1976063598041287</v>
      </c>
      <c r="Z29">
        <f t="shared" si="15"/>
        <v>2.527247313774748</v>
      </c>
      <c r="AA29">
        <f t="shared" si="16"/>
        <v>2.9063344108409601</v>
      </c>
      <c r="AB29">
        <f t="shared" ref="AB29:AF29" si="60">+AA29*1.1</f>
        <v>3.1969678519250562</v>
      </c>
      <c r="AC29">
        <f t="shared" si="60"/>
        <v>3.5166646371175623</v>
      </c>
      <c r="AD29">
        <f t="shared" si="60"/>
        <v>3.8683311008293186</v>
      </c>
      <c r="AE29">
        <f t="shared" si="60"/>
        <v>4.2551642109122509</v>
      </c>
      <c r="AF29">
        <f t="shared" si="60"/>
        <v>4.6806806320034768</v>
      </c>
      <c r="AG29">
        <f t="shared" ref="AG29:AI29" si="61">+AF29*1.05</f>
        <v>4.9147146636036512</v>
      </c>
      <c r="AH29">
        <f t="shared" si="61"/>
        <v>5.1604503967838342</v>
      </c>
      <c r="AI29">
        <f t="shared" si="61"/>
        <v>5.4184729166230259</v>
      </c>
      <c r="AJ29">
        <f t="shared" ref="AJ29:AM29" si="62">+AI29*1</f>
        <v>5.4184729166230259</v>
      </c>
      <c r="AK29">
        <f t="shared" si="62"/>
        <v>5.4184729166230259</v>
      </c>
      <c r="AL29">
        <f t="shared" si="62"/>
        <v>5.4184729166230259</v>
      </c>
      <c r="AM29">
        <f t="shared" si="62"/>
        <v>5.4184729166230259</v>
      </c>
    </row>
    <row r="30" spans="1:71 16384:16384">
      <c r="A30" t="s">
        <v>3</v>
      </c>
      <c r="B30" s="6">
        <v>1953.989</v>
      </c>
      <c r="C30" s="6">
        <v>1964.3040000000001</v>
      </c>
      <c r="D30" s="6">
        <v>2044.6880000000001</v>
      </c>
      <c r="E30" s="6">
        <v>1972.1310000000001</v>
      </c>
      <c r="F30" s="6">
        <v>2009.557</v>
      </c>
      <c r="G30" s="6">
        <v>2023.8130000000001</v>
      </c>
      <c r="H30" s="6">
        <v>2044.6880000000001</v>
      </c>
      <c r="I30" s="6">
        <v>2035.6510000000001</v>
      </c>
      <c r="J30" s="6">
        <v>2078.4670000000001</v>
      </c>
      <c r="K30" s="6">
        <v>2092.1799999999998</v>
      </c>
      <c r="L30" s="6">
        <v>2101.66</v>
      </c>
      <c r="U30">
        <f>AVERAGE(B30:E30)</f>
        <v>1983.778</v>
      </c>
      <c r="V30">
        <f>AVERAGE(F30:I30)</f>
        <v>2028.42725</v>
      </c>
      <c r="W30">
        <f t="shared" si="12"/>
        <v>2332.6913374999999</v>
      </c>
      <c r="X30">
        <f t="shared" si="13"/>
        <v>2682.5950381249995</v>
      </c>
      <c r="Y30">
        <f t="shared" si="14"/>
        <v>3084.9842938437491</v>
      </c>
      <c r="Z30">
        <f t="shared" si="15"/>
        <v>3547.7319379203113</v>
      </c>
      <c r="AA30">
        <f t="shared" si="16"/>
        <v>4079.8917286083579</v>
      </c>
      <c r="AB30">
        <f t="shared" ref="AB30:AF30" si="63">+AA30*1.1</f>
        <v>4487.8809014691942</v>
      </c>
      <c r="AC30">
        <f t="shared" si="63"/>
        <v>4936.668991616114</v>
      </c>
      <c r="AD30">
        <f t="shared" si="63"/>
        <v>5430.3358907777256</v>
      </c>
      <c r="AE30">
        <f t="shared" si="63"/>
        <v>5973.3694798554989</v>
      </c>
      <c r="AF30">
        <f t="shared" si="63"/>
        <v>6570.7064278410489</v>
      </c>
      <c r="AG30">
        <f t="shared" ref="AG30:AI30" si="64">+AF30*1.05</f>
        <v>6899.2417492331015</v>
      </c>
      <c r="AH30">
        <f t="shared" si="64"/>
        <v>7244.2038366947572</v>
      </c>
      <c r="AI30">
        <f t="shared" si="64"/>
        <v>7606.4140285294952</v>
      </c>
      <c r="AJ30">
        <f t="shared" ref="AJ30:AM30" si="65">+AI30*1</f>
        <v>7606.4140285294952</v>
      </c>
      <c r="AK30">
        <f t="shared" si="65"/>
        <v>7606.4140285294952</v>
      </c>
      <c r="AL30">
        <f t="shared" si="65"/>
        <v>7606.4140285294952</v>
      </c>
      <c r="AM30">
        <f t="shared" si="65"/>
        <v>7606.4140285294952</v>
      </c>
    </row>
    <row r="32" spans="1:71 16384:16384">
      <c r="A32" t="s">
        <v>51</v>
      </c>
      <c r="B32" s="2">
        <f t="shared" ref="B32:K32" si="66">+B17/B15</f>
        <v>0.4126057776480887</v>
      </c>
      <c r="C32" s="2">
        <f t="shared" si="66"/>
        <v>0.36169949213427477</v>
      </c>
      <c r="D32" s="2">
        <f t="shared" si="66"/>
        <v>0.3799592472731631</v>
      </c>
      <c r="E32" s="2">
        <f t="shared" si="66"/>
        <v>0.38340885325897528</v>
      </c>
      <c r="F32" s="2">
        <f t="shared" si="66"/>
        <v>0.40394423665419926</v>
      </c>
      <c r="G32" s="2">
        <f t="shared" si="66"/>
        <v>0.40249187432286027</v>
      </c>
      <c r="H32" s="2">
        <f t="shared" si="66"/>
        <v>0.39453293155402497</v>
      </c>
      <c r="I32" s="2">
        <f t="shared" si="66"/>
        <v>0.39039855072463769</v>
      </c>
      <c r="J32" s="2">
        <f t="shared" si="66"/>
        <v>0.39117559964465504</v>
      </c>
      <c r="K32" s="2">
        <f t="shared" si="66"/>
        <v>0.39364485981308411</v>
      </c>
      <c r="L32" s="2">
        <f>+L17/L15</f>
        <v>0.39569181265641756</v>
      </c>
      <c r="N32" t="s">
        <v>52</v>
      </c>
      <c r="O32" s="3">
        <f>NPV(0.09,W28:BS28)</f>
        <v>81610.716128711472</v>
      </c>
      <c r="U32" s="2">
        <f t="shared" ref="U32:AM32" si="67">+U17/U15</f>
        <v>0.38328575461931802</v>
      </c>
      <c r="V32" s="2">
        <f t="shared" si="67"/>
        <v>0.39762881896944824</v>
      </c>
      <c r="W32" s="2">
        <f t="shared" si="67"/>
        <v>0.39762881896944824</v>
      </c>
      <c r="X32" s="2">
        <f t="shared" si="67"/>
        <v>0.39762881896944829</v>
      </c>
      <c r="Y32" s="2">
        <f t="shared" si="67"/>
        <v>0.39762881896944835</v>
      </c>
      <c r="Z32" s="2">
        <f t="shared" si="67"/>
        <v>0.39762881896944835</v>
      </c>
      <c r="AA32" s="2">
        <f t="shared" si="67"/>
        <v>0.39762881896944835</v>
      </c>
      <c r="AB32" s="2">
        <f t="shared" si="67"/>
        <v>0.39762881896944835</v>
      </c>
      <c r="AC32" s="2">
        <f t="shared" si="67"/>
        <v>0.39762881896944841</v>
      </c>
      <c r="AD32" s="2">
        <f t="shared" si="67"/>
        <v>0.39762881896944841</v>
      </c>
      <c r="AE32" s="2">
        <f t="shared" si="67"/>
        <v>0.39762881896944841</v>
      </c>
      <c r="AF32" s="2">
        <f t="shared" si="67"/>
        <v>0.39762881896944835</v>
      </c>
      <c r="AG32" s="2">
        <f t="shared" si="67"/>
        <v>0.39762881896944835</v>
      </c>
      <c r="AH32" s="2">
        <f t="shared" si="67"/>
        <v>0.39762881896944841</v>
      </c>
      <c r="AI32" s="2">
        <f t="shared" si="67"/>
        <v>0.39762881896944846</v>
      </c>
      <c r="AJ32" s="2">
        <f t="shared" si="67"/>
        <v>0.39762881896944846</v>
      </c>
      <c r="AK32" s="2">
        <f t="shared" si="67"/>
        <v>0.39762881896944846</v>
      </c>
      <c r="AL32" s="2">
        <f t="shared" si="67"/>
        <v>0.39762881896944846</v>
      </c>
      <c r="AM32" s="2">
        <f t="shared" si="67"/>
        <v>0.39762881896944846</v>
      </c>
    </row>
    <row r="33" spans="1:39">
      <c r="A33" t="s">
        <v>53</v>
      </c>
      <c r="B33" s="2">
        <f t="shared" ref="B33:K36" si="68">+B18/$L$15</f>
        <v>5.130496961029675E-2</v>
      </c>
      <c r="C33" s="2">
        <f t="shared" si="68"/>
        <v>5.5148373257061137E-2</v>
      </c>
      <c r="D33" s="2">
        <f t="shared" si="68"/>
        <v>5.5148373257061137E-2</v>
      </c>
      <c r="E33" s="2">
        <f t="shared" si="68"/>
        <v>5.4075795495173398E-2</v>
      </c>
      <c r="F33" s="2">
        <f t="shared" si="68"/>
        <v>5.7204147300679298E-2</v>
      </c>
      <c r="G33" s="2">
        <f t="shared" si="68"/>
        <v>5.9349302824454775E-2</v>
      </c>
      <c r="H33" s="2">
        <f t="shared" si="68"/>
        <v>6.1047550947443692E-2</v>
      </c>
      <c r="I33" s="2">
        <f t="shared" si="68"/>
        <v>6.2745799070432609E-2</v>
      </c>
      <c r="J33" s="2">
        <f t="shared" si="68"/>
        <v>6.122631390775831E-2</v>
      </c>
      <c r="K33" s="2">
        <f t="shared" si="68"/>
        <v>6.0958169467286376E-2</v>
      </c>
      <c r="L33" s="2">
        <f>+L18/$L$15</f>
        <v>6.1405076868072936E-2</v>
      </c>
      <c r="N33" t="s">
        <v>54</v>
      </c>
      <c r="O33">
        <f>+O32/main!M3</f>
        <v>38.86039528056353</v>
      </c>
      <c r="P33" t="s">
        <v>6</v>
      </c>
      <c r="U33" s="2">
        <f t="shared" ref="U33:AM36" si="69">+U18/$L$15</f>
        <v>0.21567751161959242</v>
      </c>
      <c r="V33" s="2">
        <f t="shared" si="69"/>
        <v>0.24034680014301038</v>
      </c>
      <c r="W33" s="2">
        <f t="shared" si="69"/>
        <v>0.27639882016446193</v>
      </c>
      <c r="X33" s="2">
        <f t="shared" si="69"/>
        <v>0.31785864318913115</v>
      </c>
      <c r="Y33" s="2">
        <f t="shared" si="69"/>
        <v>0.3655374396675008</v>
      </c>
      <c r="Z33" s="2">
        <f t="shared" si="69"/>
        <v>0.42036805561762591</v>
      </c>
      <c r="AA33" s="2">
        <f t="shared" si="69"/>
        <v>0.48342326396026974</v>
      </c>
      <c r="AB33" s="2">
        <f t="shared" si="69"/>
        <v>0.53176559035629678</v>
      </c>
      <c r="AC33" s="2">
        <f t="shared" si="69"/>
        <v>0.58494214939192657</v>
      </c>
      <c r="AD33" s="2">
        <f t="shared" si="69"/>
        <v>0.64343636433111928</v>
      </c>
      <c r="AE33" s="2">
        <f t="shared" si="69"/>
        <v>0.70778000076423131</v>
      </c>
      <c r="AF33" s="2">
        <f t="shared" si="69"/>
        <v>0.77855800084065452</v>
      </c>
      <c r="AG33" s="2">
        <f t="shared" si="69"/>
        <v>0.81748590088268736</v>
      </c>
      <c r="AH33" s="2">
        <f t="shared" si="69"/>
        <v>0.85836019592682167</v>
      </c>
      <c r="AI33" s="2">
        <f t="shared" si="69"/>
        <v>0.90127820572316286</v>
      </c>
      <c r="AJ33" s="2">
        <f t="shared" si="69"/>
        <v>0.90127820572316286</v>
      </c>
      <c r="AK33" s="2">
        <f t="shared" si="69"/>
        <v>0.90127820572316286</v>
      </c>
      <c r="AL33" s="2">
        <f t="shared" si="69"/>
        <v>0.90127820572316286</v>
      </c>
      <c r="AM33" s="2">
        <f t="shared" si="69"/>
        <v>0.90127820572316286</v>
      </c>
    </row>
    <row r="34" spans="1:39">
      <c r="A34" t="s">
        <v>55</v>
      </c>
      <c r="B34" s="2">
        <f t="shared" si="68"/>
        <v>0.1128888094386843</v>
      </c>
      <c r="C34" s="2">
        <f t="shared" si="68"/>
        <v>0.1088666428316053</v>
      </c>
      <c r="D34" s="2">
        <f t="shared" si="68"/>
        <v>0.10305684662138005</v>
      </c>
      <c r="E34" s="2">
        <f t="shared" si="68"/>
        <v>0.1002860207365034</v>
      </c>
      <c r="F34" s="2">
        <f t="shared" si="68"/>
        <v>0.11279942795852699</v>
      </c>
      <c r="G34" s="2">
        <f t="shared" si="68"/>
        <v>0.1088666428316053</v>
      </c>
      <c r="H34" s="2">
        <f t="shared" si="68"/>
        <v>8.4107972828030036E-2</v>
      </c>
      <c r="I34" s="2">
        <f t="shared" si="68"/>
        <v>8.3571683947086167E-2</v>
      </c>
      <c r="J34" s="2">
        <f t="shared" si="68"/>
        <v>8.1962817304254559E-2</v>
      </c>
      <c r="K34" s="2">
        <f t="shared" si="68"/>
        <v>9.9660350375402218E-2</v>
      </c>
      <c r="L34" s="2">
        <f t="shared" ref="L34:L36" si="70">+L19/$L$15</f>
        <v>9.7962102252413294E-2</v>
      </c>
      <c r="U34" s="2">
        <f t="shared" si="69"/>
        <v>0.42509831962817302</v>
      </c>
      <c r="V34" s="2">
        <f t="shared" si="69"/>
        <v>0.38934572756524849</v>
      </c>
      <c r="W34" s="2">
        <f t="shared" si="69"/>
        <v>0.44774758670003573</v>
      </c>
      <c r="X34" s="2">
        <f t="shared" si="69"/>
        <v>0.51490972470504104</v>
      </c>
      <c r="Y34" s="2">
        <f t="shared" si="69"/>
        <v>0.59214618341079717</v>
      </c>
      <c r="Z34" s="2">
        <f t="shared" si="69"/>
        <v>0.68096811092241671</v>
      </c>
      <c r="AA34" s="2">
        <f t="shared" si="69"/>
        <v>0.78311332756077923</v>
      </c>
      <c r="AB34" s="2">
        <f t="shared" si="69"/>
        <v>0.86142466031685727</v>
      </c>
      <c r="AC34" s="2">
        <f t="shared" si="69"/>
        <v>0.94756712634854301</v>
      </c>
      <c r="AD34" s="2">
        <f t="shared" si="69"/>
        <v>1.0423238389833975</v>
      </c>
      <c r="AE34" s="2">
        <f t="shared" si="69"/>
        <v>1.1465562228817374</v>
      </c>
      <c r="AF34" s="2">
        <f t="shared" si="69"/>
        <v>1.2612118451699112</v>
      </c>
      <c r="AG34" s="2">
        <f t="shared" si="69"/>
        <v>1.3242724374284069</v>
      </c>
      <c r="AH34" s="2">
        <f t="shared" si="69"/>
        <v>1.3904860592998272</v>
      </c>
      <c r="AI34" s="2">
        <f t="shared" si="69"/>
        <v>1.4600103622648186</v>
      </c>
      <c r="AJ34" s="2">
        <f t="shared" si="69"/>
        <v>1.4600103622648186</v>
      </c>
      <c r="AK34" s="2">
        <f t="shared" si="69"/>
        <v>1.4600103622648186</v>
      </c>
      <c r="AL34" s="2">
        <f t="shared" si="69"/>
        <v>1.4600103622648186</v>
      </c>
      <c r="AM34" s="2">
        <f t="shared" si="69"/>
        <v>1.4600103622648186</v>
      </c>
    </row>
    <row r="35" spans="1:39">
      <c r="A35" t="s">
        <v>56</v>
      </c>
      <c r="B35" s="2">
        <f t="shared" si="68"/>
        <v>5.2466928852341797E-2</v>
      </c>
      <c r="C35" s="2">
        <f t="shared" si="68"/>
        <v>6.2924562030747228E-2</v>
      </c>
      <c r="D35" s="2">
        <f t="shared" si="68"/>
        <v>6.792992491955667E-2</v>
      </c>
      <c r="E35" s="2">
        <f t="shared" si="68"/>
        <v>6.6767965677511615E-2</v>
      </c>
      <c r="F35" s="2">
        <f t="shared" si="68"/>
        <v>6.9270647121916343E-2</v>
      </c>
      <c r="G35" s="2">
        <f t="shared" si="68"/>
        <v>7.222023596710761E-2</v>
      </c>
      <c r="H35" s="2">
        <f t="shared" si="68"/>
        <v>7.1237039685377188E-2</v>
      </c>
      <c r="I35" s="2">
        <f t="shared" si="68"/>
        <v>7.0075080443332147E-2</v>
      </c>
      <c r="J35" s="2">
        <f t="shared" si="68"/>
        <v>7.0611369324276016E-2</v>
      </c>
      <c r="K35" s="2">
        <f t="shared" si="68"/>
        <v>6.792992491955667E-2</v>
      </c>
      <c r="L35" s="2">
        <f t="shared" si="70"/>
        <v>6.9181265641759027E-2</v>
      </c>
      <c r="O35" s="2" t="s">
        <v>6</v>
      </c>
      <c r="U35" s="2">
        <f t="shared" si="69"/>
        <v>0.2500893814801573</v>
      </c>
      <c r="V35" s="2">
        <f t="shared" si="69"/>
        <v>0.28280300321773327</v>
      </c>
      <c r="W35" s="2">
        <f t="shared" si="69"/>
        <v>0.32522345370039329</v>
      </c>
      <c r="X35" s="2">
        <f t="shared" si="69"/>
        <v>0.37400697175545222</v>
      </c>
      <c r="Y35" s="2">
        <f t="shared" si="69"/>
        <v>0.43010801751877004</v>
      </c>
      <c r="Z35" s="2">
        <f t="shared" si="69"/>
        <v>0.49462422014658547</v>
      </c>
      <c r="AA35" s="2">
        <f t="shared" si="69"/>
        <v>0.56881785316857325</v>
      </c>
      <c r="AB35" s="2">
        <f t="shared" si="69"/>
        <v>0.62569963848543053</v>
      </c>
      <c r="AC35" s="2">
        <f t="shared" si="69"/>
        <v>0.68826960233397372</v>
      </c>
      <c r="AD35" s="2">
        <f t="shared" si="69"/>
        <v>0.75709656256737123</v>
      </c>
      <c r="AE35" s="2">
        <f t="shared" si="69"/>
        <v>0.83280621882410832</v>
      </c>
      <c r="AF35" s="2">
        <f t="shared" si="69"/>
        <v>0.91608684070651913</v>
      </c>
      <c r="AG35" s="2">
        <f t="shared" si="69"/>
        <v>0.96189118274184515</v>
      </c>
      <c r="AH35" s="2">
        <f t="shared" si="69"/>
        <v>1.0099857418789375</v>
      </c>
      <c r="AI35" s="2">
        <f t="shared" si="69"/>
        <v>1.0604850289728842</v>
      </c>
      <c r="AJ35" s="2">
        <f t="shared" si="69"/>
        <v>1.0604850289728842</v>
      </c>
      <c r="AK35" s="2">
        <f t="shared" si="69"/>
        <v>1.0604850289728842</v>
      </c>
      <c r="AL35" s="2">
        <f t="shared" si="69"/>
        <v>1.0604850289728842</v>
      </c>
      <c r="AM35" s="2">
        <f t="shared" si="69"/>
        <v>1.0604850289728842</v>
      </c>
    </row>
    <row r="36" spans="1:39">
      <c r="A36" t="s">
        <v>42</v>
      </c>
      <c r="B36" s="2">
        <f t="shared" si="68"/>
        <v>5.648909545942081E-2</v>
      </c>
      <c r="C36" s="2">
        <f t="shared" si="68"/>
        <v>7.6063639613872011E-2</v>
      </c>
      <c r="D36" s="2">
        <f t="shared" si="68"/>
        <v>8.1158383982838755E-2</v>
      </c>
      <c r="E36" s="2">
        <f t="shared" si="68"/>
        <v>6.6589202717196996E-2</v>
      </c>
      <c r="F36" s="2">
        <f t="shared" si="68"/>
        <v>8.4197354308187339E-2</v>
      </c>
      <c r="G36" s="2">
        <f t="shared" si="68"/>
        <v>4.3886306757239903E-2</v>
      </c>
      <c r="H36" s="2">
        <f t="shared" si="68"/>
        <v>5.7740436181623167E-2</v>
      </c>
      <c r="I36" s="2">
        <f t="shared" si="68"/>
        <v>5.389703253485878E-2</v>
      </c>
      <c r="J36" s="2">
        <f t="shared" si="68"/>
        <v>0.10806220951018949</v>
      </c>
      <c r="K36" s="2">
        <f t="shared" si="68"/>
        <v>6.1315695387915627E-2</v>
      </c>
      <c r="L36" s="2">
        <f t="shared" si="70"/>
        <v>5.6310332499106185E-2</v>
      </c>
      <c r="U36" s="2">
        <f t="shared" si="69"/>
        <v>0.28030032177332859</v>
      </c>
      <c r="V36" s="2">
        <f t="shared" si="69"/>
        <v>0.23972112978190918</v>
      </c>
      <c r="W36" s="2">
        <f t="shared" si="69"/>
        <v>0.27567929924919554</v>
      </c>
      <c r="X36" s="2">
        <f t="shared" si="69"/>
        <v>0.31703119413657482</v>
      </c>
      <c r="Y36" s="2">
        <f t="shared" si="69"/>
        <v>0.36458587325706104</v>
      </c>
      <c r="Z36" s="2">
        <f t="shared" si="69"/>
        <v>0.41927375424562013</v>
      </c>
      <c r="AA36" s="2">
        <f t="shared" si="69"/>
        <v>0.48216481738246308</v>
      </c>
      <c r="AB36" s="2">
        <f t="shared" si="69"/>
        <v>0.53038129912070942</v>
      </c>
      <c r="AC36" s="2">
        <f t="shared" si="69"/>
        <v>0.58341942903278043</v>
      </c>
      <c r="AD36" s="2">
        <f t="shared" si="69"/>
        <v>0.64176137193605853</v>
      </c>
      <c r="AE36" s="2">
        <f t="shared" si="69"/>
        <v>0.70593750912966446</v>
      </c>
      <c r="AF36" s="2">
        <f t="shared" si="69"/>
        <v>0.77653126004263096</v>
      </c>
      <c r="AG36" s="2">
        <f t="shared" si="69"/>
        <v>0.81535782304476256</v>
      </c>
      <c r="AH36" s="2">
        <f t="shared" si="69"/>
        <v>0.85612571419700068</v>
      </c>
      <c r="AI36" s="2">
        <f t="shared" si="69"/>
        <v>0.8989319999068508</v>
      </c>
      <c r="AJ36" s="2">
        <f t="shared" si="69"/>
        <v>0.8989319999068508</v>
      </c>
      <c r="AK36" s="2">
        <f t="shared" si="69"/>
        <v>0.8989319999068508</v>
      </c>
      <c r="AL36" s="2">
        <f t="shared" si="69"/>
        <v>0.8989319999068508</v>
      </c>
      <c r="AM36" s="2">
        <f t="shared" si="69"/>
        <v>0.8989319999068508</v>
      </c>
    </row>
    <row r="37" spans="1:39">
      <c r="A37" t="s">
        <v>57</v>
      </c>
      <c r="B37" s="2">
        <f t="shared" ref="B37:K37" si="71">+B23/B15</f>
        <v>-3.3265246571345199E-2</v>
      </c>
      <c r="C37" s="2">
        <f t="shared" si="71"/>
        <v>-5.8218753870927786E-2</v>
      </c>
      <c r="D37" s="2">
        <f t="shared" si="71"/>
        <v>-3.2122737624355746E-2</v>
      </c>
      <c r="E37" s="2">
        <f t="shared" si="71"/>
        <v>9.4109445799930285E-3</v>
      </c>
      <c r="F37" s="2">
        <f t="shared" si="71"/>
        <v>-6.2337073557746795E-3</v>
      </c>
      <c r="G37" s="2">
        <f t="shared" si="71"/>
        <v>5.7854821235102924E-2</v>
      </c>
      <c r="H37" s="2">
        <f t="shared" si="71"/>
        <v>6.4464055101162293E-2</v>
      </c>
      <c r="I37" s="2">
        <f t="shared" si="71"/>
        <v>8.6050724637681153E-2</v>
      </c>
      <c r="J37" s="2">
        <f t="shared" si="71"/>
        <v>3.5731911953410328E-2</v>
      </c>
      <c r="K37" s="2">
        <f t="shared" si="71"/>
        <v>9.0560747663551405E-2</v>
      </c>
      <c r="L37" s="2">
        <f>+L23/L15</f>
        <v>0.11083303539506614</v>
      </c>
      <c r="U37" s="2">
        <f t="shared" ref="U37:AM37" si="72">+U23/U15</f>
        <v>-2.7762963892461648E-2</v>
      </c>
      <c r="V37" s="2">
        <f t="shared" si="72"/>
        <v>5.1849467557200719E-2</v>
      </c>
      <c r="W37" s="2">
        <f t="shared" si="72"/>
        <v>5.1849467557200719E-2</v>
      </c>
      <c r="X37" s="2">
        <f t="shared" si="72"/>
        <v>5.1849467557200719E-2</v>
      </c>
      <c r="Y37" s="2">
        <f t="shared" si="72"/>
        <v>5.1849467557200726E-2</v>
      </c>
      <c r="Z37" s="2">
        <f t="shared" si="72"/>
        <v>5.1849467557200726E-2</v>
      </c>
      <c r="AA37" s="2">
        <f t="shared" si="72"/>
        <v>5.1849467557200726E-2</v>
      </c>
      <c r="AB37" s="2">
        <f t="shared" si="72"/>
        <v>5.1849467557200733E-2</v>
      </c>
      <c r="AC37" s="2">
        <f t="shared" si="72"/>
        <v>5.1849467557200733E-2</v>
      </c>
      <c r="AD37" s="2">
        <f t="shared" si="72"/>
        <v>5.1849467557200733E-2</v>
      </c>
      <c r="AE37" s="2">
        <f t="shared" si="72"/>
        <v>5.1849467557200733E-2</v>
      </c>
      <c r="AF37" s="2">
        <f t="shared" si="72"/>
        <v>5.1849467557200733E-2</v>
      </c>
      <c r="AG37" s="2">
        <f t="shared" si="72"/>
        <v>5.1849467557200733E-2</v>
      </c>
      <c r="AH37" s="2">
        <f t="shared" si="72"/>
        <v>5.184946755720074E-2</v>
      </c>
      <c r="AI37" s="2">
        <f t="shared" si="72"/>
        <v>5.184946755720074E-2</v>
      </c>
      <c r="AJ37" s="2">
        <f t="shared" si="72"/>
        <v>5.184946755720074E-2</v>
      </c>
      <c r="AK37" s="2">
        <f t="shared" si="72"/>
        <v>5.184946755720074E-2</v>
      </c>
      <c r="AL37" s="2">
        <f t="shared" si="72"/>
        <v>5.184946755720074E-2</v>
      </c>
      <c r="AM37" s="2">
        <f t="shared" si="72"/>
        <v>5.184946755720074E-2</v>
      </c>
    </row>
    <row r="38" spans="1:39">
      <c r="A38" t="s">
        <v>58</v>
      </c>
      <c r="B38" s="2">
        <f t="shared" ref="B38:K38" si="73">+B27/B26</f>
        <v>-1.301995265471762E-2</v>
      </c>
      <c r="C38" s="2">
        <f t="shared" si="73"/>
        <v>-3.329009943795936E-2</v>
      </c>
      <c r="D38" s="2">
        <f t="shared" si="73"/>
        <v>-6.1116965226554271E-2</v>
      </c>
      <c r="E38" s="2">
        <f t="shared" si="73"/>
        <v>-0.56384505021520803</v>
      </c>
      <c r="F38" s="2">
        <f t="shared" si="73"/>
        <v>0.79710144927536231</v>
      </c>
      <c r="G38" s="2">
        <f t="shared" si="73"/>
        <v>9.8039215686274508E-2</v>
      </c>
      <c r="H38" s="2">
        <f t="shared" si="73"/>
        <v>-0.10498687664041995</v>
      </c>
      <c r="I38" s="2">
        <f t="shared" si="73"/>
        <v>6.5484982767109803E-2</v>
      </c>
      <c r="J38" s="2">
        <f t="shared" si="73"/>
        <v>-6.5909090909090903E-2</v>
      </c>
      <c r="K38" s="2">
        <f t="shared" si="73"/>
        <v>4.5600000000000002E-2</v>
      </c>
      <c r="L38" s="2">
        <f>+L27/L26</f>
        <v>5.3595658073270012E-2</v>
      </c>
      <c r="U38" s="2">
        <f t="shared" ref="U38:AM38" si="74">+U27/U26</f>
        <v>2.1346856940676968E-2</v>
      </c>
      <c r="V38" s="2">
        <f t="shared" si="74"/>
        <v>6.7748091603053437E-2</v>
      </c>
      <c r="W38" s="2">
        <f t="shared" si="74"/>
        <v>6.7748091603053437E-2</v>
      </c>
      <c r="X38" s="2">
        <f t="shared" si="74"/>
        <v>6.7748091603053423E-2</v>
      </c>
      <c r="Y38" s="2">
        <f t="shared" si="74"/>
        <v>6.7748091603053423E-2</v>
      </c>
      <c r="Z38" s="2">
        <f t="shared" si="74"/>
        <v>6.7748091603053423E-2</v>
      </c>
      <c r="AA38" s="2">
        <f t="shared" si="74"/>
        <v>6.7748091603053423E-2</v>
      </c>
      <c r="AB38" s="2">
        <f t="shared" si="74"/>
        <v>6.7748091603053423E-2</v>
      </c>
      <c r="AC38" s="2">
        <f t="shared" si="74"/>
        <v>6.7748091603053437E-2</v>
      </c>
      <c r="AD38" s="2">
        <f t="shared" si="74"/>
        <v>6.7748091603053423E-2</v>
      </c>
      <c r="AE38" s="2">
        <f t="shared" si="74"/>
        <v>6.7748091603053409E-2</v>
      </c>
      <c r="AF38" s="2">
        <f t="shared" si="74"/>
        <v>6.7748091603053409E-2</v>
      </c>
      <c r="AG38" s="2">
        <f t="shared" si="74"/>
        <v>6.7748091603053409E-2</v>
      </c>
      <c r="AH38" s="2">
        <f t="shared" si="74"/>
        <v>6.7748091603053409E-2</v>
      </c>
      <c r="AI38" s="2">
        <f t="shared" si="74"/>
        <v>6.7748091603053409E-2</v>
      </c>
      <c r="AJ38" s="2">
        <f t="shared" si="74"/>
        <v>6.7748091603053409E-2</v>
      </c>
      <c r="AK38" s="2">
        <f t="shared" si="74"/>
        <v>6.7748091603053409E-2</v>
      </c>
      <c r="AL38" s="2">
        <f t="shared" si="74"/>
        <v>6.7748091603053409E-2</v>
      </c>
      <c r="AM38" s="2">
        <f t="shared" si="74"/>
        <v>6.7748091603053409E-2</v>
      </c>
    </row>
    <row r="39" spans="1:39">
      <c r="A39" t="s">
        <v>59</v>
      </c>
      <c r="B39" s="2"/>
      <c r="C39" s="2"/>
      <c r="D39" s="2"/>
      <c r="E39" s="2"/>
      <c r="F39" s="2">
        <f t="shared" ref="E39:K39" si="75">+F28/B28-1</f>
        <v>-1.0023368385912201</v>
      </c>
      <c r="G39" s="2">
        <f t="shared" si="75"/>
        <v>-1.2502092050209206</v>
      </c>
      <c r="H39" s="2">
        <f t="shared" si="75"/>
        <v>-1.4180734856007944</v>
      </c>
      <c r="I39" s="2">
        <f t="shared" si="75"/>
        <v>0.74128440366972481</v>
      </c>
      <c r="J39" s="2">
        <f t="shared" si="75"/>
        <v>-34.5</v>
      </c>
      <c r="K39" s="2">
        <f t="shared" si="75"/>
        <v>0.99498327759197314</v>
      </c>
      <c r="L39" s="2">
        <f>+L28/H28-1</f>
        <v>5.6270783847981001</v>
      </c>
      <c r="U39" s="2" t="s">
        <v>6</v>
      </c>
      <c r="V39" s="2">
        <f>+V28/U28-1</f>
        <v>-1.3532176428054954</v>
      </c>
      <c r="W39" s="2">
        <f t="shared" ref="W39:AM39" si="76">+W28/V28-1</f>
        <v>0.14999999999999991</v>
      </c>
      <c r="X39" s="2">
        <f t="shared" si="76"/>
        <v>0.14999999999999991</v>
      </c>
      <c r="Y39" s="2">
        <f t="shared" si="76"/>
        <v>0.14999999999999991</v>
      </c>
      <c r="Z39" s="2">
        <f t="shared" si="76"/>
        <v>0.14999999999999991</v>
      </c>
      <c r="AA39" s="2">
        <f t="shared" si="76"/>
        <v>0.14999999999999991</v>
      </c>
      <c r="AB39" s="2">
        <f t="shared" si="76"/>
        <v>0.10000000000000009</v>
      </c>
      <c r="AC39" s="2">
        <f t="shared" si="76"/>
        <v>0.10000000000000009</v>
      </c>
      <c r="AD39" s="2">
        <f t="shared" si="76"/>
        <v>0.10000000000000009</v>
      </c>
      <c r="AE39" s="2">
        <f t="shared" si="76"/>
        <v>0.10000000000000009</v>
      </c>
      <c r="AF39" s="2">
        <f t="shared" si="76"/>
        <v>0.10000000000000009</v>
      </c>
      <c r="AG39" s="2">
        <f t="shared" si="76"/>
        <v>5.0000000000000044E-2</v>
      </c>
      <c r="AH39" s="2">
        <f t="shared" si="76"/>
        <v>5.0000000000000044E-2</v>
      </c>
      <c r="AI39" s="2">
        <f t="shared" si="76"/>
        <v>5.0000000000000044E-2</v>
      </c>
      <c r="AJ39" s="2">
        <f t="shared" si="76"/>
        <v>0</v>
      </c>
      <c r="AK39" s="2">
        <f t="shared" si="76"/>
        <v>0</v>
      </c>
      <c r="AL39" s="2">
        <f t="shared" si="76"/>
        <v>0</v>
      </c>
      <c r="AM39" s="2">
        <f t="shared" si="76"/>
        <v>0</v>
      </c>
    </row>
    <row r="41" spans="1:39">
      <c r="A41" t="s">
        <v>60</v>
      </c>
      <c r="V41">
        <v>5421</v>
      </c>
      <c r="W41">
        <f>+main!M5-main!M6</f>
        <v>-10136</v>
      </c>
      <c r="X41">
        <f>+W41+W28</f>
        <v>-6765.35</v>
      </c>
      <c r="Y41">
        <f t="shared" ref="Y41:AM41" si="77">+X41+X28</f>
        <v>-2889.1025000000009</v>
      </c>
      <c r="Z41">
        <f t="shared" si="77"/>
        <v>1568.5821249999981</v>
      </c>
      <c r="AA41">
        <f t="shared" si="77"/>
        <v>6694.9194437499964</v>
      </c>
      <c r="AB41">
        <f t="shared" si="77"/>
        <v>12590.207360312494</v>
      </c>
      <c r="AC41">
        <f t="shared" si="77"/>
        <v>19075.024068531242</v>
      </c>
      <c r="AD41">
        <f t="shared" si="77"/>
        <v>26208.322447571863</v>
      </c>
      <c r="AE41">
        <f t="shared" si="77"/>
        <v>34054.950664516546</v>
      </c>
      <c r="AF41">
        <f t="shared" si="77"/>
        <v>42686.241703155698</v>
      </c>
      <c r="AG41">
        <f t="shared" si="77"/>
        <v>52180.661845658768</v>
      </c>
      <c r="AH41">
        <f t="shared" si="77"/>
        <v>62149.802995286991</v>
      </c>
      <c r="AI41">
        <f t="shared" si="77"/>
        <v>72617.401202396621</v>
      </c>
      <c r="AJ41">
        <f t="shared" si="77"/>
        <v>83608.379319861735</v>
      </c>
      <c r="AK41">
        <f t="shared" si="77"/>
        <v>94599.357437326849</v>
      </c>
      <c r="AL41">
        <f t="shared" si="77"/>
        <v>105590.33555479196</v>
      </c>
      <c r="AM41">
        <f t="shared" si="77"/>
        <v>116581.31367225708</v>
      </c>
    </row>
    <row r="43" spans="1:39">
      <c r="A43" t="s">
        <v>61</v>
      </c>
      <c r="V43">
        <f>4680+727+805+6101+353</f>
        <v>12666</v>
      </c>
    </row>
    <row r="44" spans="1:39">
      <c r="A44" t="s">
        <v>62</v>
      </c>
      <c r="V44">
        <v>3404</v>
      </c>
    </row>
    <row r="45" spans="1:39">
      <c r="A45" t="s">
        <v>63</v>
      </c>
      <c r="V45">
        <v>1681</v>
      </c>
    </row>
    <row r="46" spans="1:39">
      <c r="A46" t="s">
        <v>64</v>
      </c>
      <c r="V46">
        <f>1519+4779</f>
        <v>6298</v>
      </c>
    </row>
    <row r="47" spans="1:39">
      <c r="A47" t="s">
        <v>65</v>
      </c>
      <c r="V47">
        <v>2073</v>
      </c>
    </row>
    <row r="48" spans="1:39">
      <c r="A48" t="s">
        <v>66</v>
      </c>
      <c r="V48">
        <v>1241</v>
      </c>
    </row>
    <row r="49" spans="1:22">
      <c r="A49" t="s">
        <v>67</v>
      </c>
      <c r="V49">
        <f>1425+8151</f>
        <v>9576</v>
      </c>
    </row>
    <row r="50" spans="1:22">
      <c r="A50" t="s">
        <v>46</v>
      </c>
      <c r="V50">
        <v>1760</v>
      </c>
    </row>
    <row r="51" spans="1:22">
      <c r="A51" t="s">
        <v>68</v>
      </c>
      <c r="V51">
        <f>SUM(V43:V50)</f>
        <v>38699</v>
      </c>
    </row>
    <row r="53" spans="1:22">
      <c r="A53" t="s">
        <v>7</v>
      </c>
      <c r="V53">
        <v>9459</v>
      </c>
    </row>
    <row r="54" spans="1:22">
      <c r="A54" t="s">
        <v>69</v>
      </c>
      <c r="V54">
        <v>790</v>
      </c>
    </row>
    <row r="55" spans="1:22">
      <c r="A55" t="s">
        <v>70</v>
      </c>
      <c r="V55">
        <v>6458</v>
      </c>
    </row>
    <row r="56" spans="1:22">
      <c r="A56" t="s">
        <v>71</v>
      </c>
      <c r="V56">
        <f>2016+4722</f>
        <v>6738</v>
      </c>
    </row>
    <row r="57" spans="1:22">
      <c r="A57" t="s">
        <v>72</v>
      </c>
      <c r="V57">
        <f>190+1550</f>
        <v>1740</v>
      </c>
    </row>
    <row r="58" spans="1:22">
      <c r="A58" t="s">
        <v>73</v>
      </c>
      <c r="V58">
        <v>832</v>
      </c>
    </row>
    <row r="59" spans="1:22">
      <c r="A59" t="s">
        <v>74</v>
      </c>
      <c r="V59">
        <f>SUM(V53:V58)</f>
        <v>26017</v>
      </c>
    </row>
    <row r="60" spans="1:22">
      <c r="A60" t="s">
        <v>75</v>
      </c>
      <c r="V60">
        <f>+V51-V59</f>
        <v>12682</v>
      </c>
    </row>
    <row r="61" spans="1:22">
      <c r="A61" t="s">
        <v>76</v>
      </c>
      <c r="V61">
        <f>+V59+V60</f>
        <v>38699</v>
      </c>
    </row>
    <row r="63" spans="1:22">
      <c r="A63" t="s">
        <v>77</v>
      </c>
      <c r="V63" s="2">
        <f>+V28/V60</f>
        <v>0.23111496609367607</v>
      </c>
    </row>
    <row r="64" spans="1:22">
      <c r="A64" t="s">
        <v>78</v>
      </c>
      <c r="V64" s="2">
        <f>+V28/V51</f>
        <v>7.5738391172898531E-2</v>
      </c>
    </row>
    <row r="66" spans="1:23">
      <c r="A66" t="s">
        <v>79</v>
      </c>
      <c r="U66">
        <f>+U28</f>
        <v>-8298</v>
      </c>
      <c r="V66">
        <f>+V28</f>
        <v>2931</v>
      </c>
    </row>
    <row r="67" spans="1:23">
      <c r="A67" t="s">
        <v>80</v>
      </c>
      <c r="T67">
        <v>-570</v>
      </c>
      <c r="U67">
        <v>-9138</v>
      </c>
      <c r="V67">
        <v>2156</v>
      </c>
    </row>
    <row r="68" spans="1:23">
      <c r="A68" t="s">
        <v>81</v>
      </c>
      <c r="T68">
        <v>902</v>
      </c>
      <c r="U68">
        <v>947</v>
      </c>
      <c r="V68">
        <v>823</v>
      </c>
    </row>
    <row r="69" spans="1:23">
      <c r="A69" t="s">
        <v>82</v>
      </c>
      <c r="T69">
        <v>1168</v>
      </c>
      <c r="U69">
        <v>1793</v>
      </c>
      <c r="V69">
        <v>1935</v>
      </c>
    </row>
    <row r="70" spans="1:23">
      <c r="A70" t="s">
        <v>83</v>
      </c>
      <c r="T70">
        <f>-413-1684</f>
        <v>-2097</v>
      </c>
      <c r="U70">
        <f>0+-14</f>
        <v>-14</v>
      </c>
      <c r="V70">
        <f>74+86</f>
        <v>160</v>
      </c>
    </row>
    <row r="71" spans="1:23">
      <c r="A71" t="s">
        <v>84</v>
      </c>
      <c r="T71">
        <v>-692</v>
      </c>
      <c r="U71">
        <v>-441</v>
      </c>
      <c r="V71">
        <v>-204</v>
      </c>
    </row>
    <row r="72" spans="1:23">
      <c r="A72" t="s">
        <v>85</v>
      </c>
      <c r="T72">
        <v>116</v>
      </c>
      <c r="U72">
        <f>28+182</f>
        <v>210</v>
      </c>
      <c r="V72">
        <v>26</v>
      </c>
    </row>
    <row r="73" spans="1:23">
      <c r="A73" t="s">
        <v>86</v>
      </c>
      <c r="T73">
        <v>37</v>
      </c>
      <c r="U73">
        <v>-107</v>
      </c>
      <c r="V73">
        <v>-48</v>
      </c>
    </row>
    <row r="74" spans="1:23">
      <c r="A74" t="s">
        <v>87</v>
      </c>
      <c r="T74">
        <v>-1142</v>
      </c>
      <c r="U74" s="4">
        <v>7045</v>
      </c>
      <c r="V74">
        <v>-1610</v>
      </c>
    </row>
    <row r="75" spans="1:23">
      <c r="A75" t="s">
        <v>88</v>
      </c>
      <c r="T75">
        <v>38</v>
      </c>
      <c r="U75">
        <v>96</v>
      </c>
      <c r="V75">
        <v>138</v>
      </c>
    </row>
    <row r="76" spans="1:23">
      <c r="A76" t="s">
        <v>46</v>
      </c>
      <c r="T76">
        <v>4</v>
      </c>
      <c r="U76">
        <v>-7</v>
      </c>
      <c r="V76">
        <v>-48</v>
      </c>
    </row>
    <row r="77" spans="1:23">
      <c r="A77" t="s">
        <v>62</v>
      </c>
      <c r="T77">
        <v>-597</v>
      </c>
      <c r="U77">
        <v>-542</v>
      </c>
      <c r="V77">
        <v>-578</v>
      </c>
      <c r="W77" t="s">
        <v>6</v>
      </c>
    </row>
    <row r="78" spans="1:23">
      <c r="A78" t="s">
        <v>89</v>
      </c>
      <c r="T78">
        <v>-236</v>
      </c>
      <c r="U78">
        <v>-196</v>
      </c>
      <c r="V78">
        <v>-1462</v>
      </c>
    </row>
    <row r="79" spans="1:23">
      <c r="A79" t="s">
        <v>90</v>
      </c>
      <c r="T79">
        <v>860</v>
      </c>
      <c r="U79">
        <v>0</v>
      </c>
      <c r="V79">
        <v>0</v>
      </c>
    </row>
    <row r="80" spans="1:23">
      <c r="A80" t="s">
        <v>91</v>
      </c>
      <c r="T80">
        <v>165</v>
      </c>
      <c r="U80">
        <v>193</v>
      </c>
      <c r="V80">
        <v>191</v>
      </c>
    </row>
    <row r="81" spans="1:22">
      <c r="A81" t="s">
        <v>69</v>
      </c>
      <c r="T81">
        <v>90</v>
      </c>
      <c r="U81">
        <v>-133</v>
      </c>
      <c r="V81">
        <v>64</v>
      </c>
    </row>
    <row r="82" spans="1:22">
      <c r="A82" t="s">
        <v>92</v>
      </c>
      <c r="T82">
        <v>516</v>
      </c>
      <c r="U82">
        <v>736</v>
      </c>
      <c r="V82">
        <v>2015</v>
      </c>
    </row>
    <row r="83" spans="1:22">
      <c r="A83" t="s">
        <v>93</v>
      </c>
      <c r="T83">
        <v>1068</v>
      </c>
      <c r="U83">
        <v>492</v>
      </c>
      <c r="V83">
        <v>295</v>
      </c>
    </row>
    <row r="84" spans="1:22">
      <c r="A84" t="s">
        <v>94</v>
      </c>
      <c r="T84">
        <v>-184</v>
      </c>
      <c r="U84">
        <v>-215</v>
      </c>
      <c r="V84">
        <v>-180</v>
      </c>
    </row>
    <row r="85" spans="1:22">
      <c r="A85" t="s">
        <v>95</v>
      </c>
      <c r="T85">
        <f>SUM(T67:T84)</f>
        <v>-554</v>
      </c>
      <c r="U85">
        <f>SUM(U67:U84)</f>
        <v>719</v>
      </c>
      <c r="V85">
        <f>SUM(V67:V84)</f>
        <v>3673</v>
      </c>
    </row>
    <row r="87" spans="1:22">
      <c r="A87" t="s">
        <v>65</v>
      </c>
      <c r="T87">
        <v>-298</v>
      </c>
      <c r="U87">
        <v>-252</v>
      </c>
      <c r="V87">
        <v>-223</v>
      </c>
    </row>
    <row r="88" spans="1:22">
      <c r="A88" t="s">
        <v>96</v>
      </c>
      <c r="T88">
        <f>-982-1113+500+2291</f>
        <v>696</v>
      </c>
      <c r="U88">
        <f>-14-1708+376</f>
        <v>-1346</v>
      </c>
      <c r="V88">
        <f>-52-8774+5069+721</f>
        <v>-3036</v>
      </c>
    </row>
    <row r="89" spans="1:22">
      <c r="A89" t="s">
        <v>9</v>
      </c>
      <c r="T89">
        <v>-2314</v>
      </c>
      <c r="U89">
        <v>-59</v>
      </c>
      <c r="V89">
        <v>0</v>
      </c>
    </row>
    <row r="90" spans="1:22">
      <c r="A90" t="s">
        <v>97</v>
      </c>
      <c r="T90">
        <v>-297</v>
      </c>
      <c r="U90">
        <v>0</v>
      </c>
      <c r="V90">
        <v>0</v>
      </c>
    </row>
    <row r="91" spans="1:22">
      <c r="A91" t="s">
        <v>46</v>
      </c>
      <c r="T91">
        <v>12</v>
      </c>
      <c r="U91">
        <v>-6</v>
      </c>
      <c r="V91">
        <v>33</v>
      </c>
    </row>
    <row r="92" spans="1:22">
      <c r="A92" t="s">
        <v>98</v>
      </c>
      <c r="T92">
        <f>SUM(T87:T91)</f>
        <v>-2201</v>
      </c>
      <c r="U92">
        <f>SUM(U87:U91)</f>
        <v>-1663</v>
      </c>
      <c r="V92">
        <f>SUM(V87:V91)</f>
        <v>-3226</v>
      </c>
    </row>
    <row r="93" spans="1:22">
      <c r="A93" t="s">
        <v>6</v>
      </c>
    </row>
    <row r="94" spans="1:22">
      <c r="A94" t="s">
        <v>99</v>
      </c>
      <c r="T94">
        <v>675</v>
      </c>
      <c r="U94">
        <v>255</v>
      </c>
      <c r="V94">
        <v>0</v>
      </c>
    </row>
    <row r="95" spans="1:22">
      <c r="A95" t="s">
        <v>100</v>
      </c>
      <c r="T95">
        <v>107</v>
      </c>
      <c r="U95">
        <v>92</v>
      </c>
      <c r="V95">
        <v>130</v>
      </c>
    </row>
    <row r="96" spans="1:22">
      <c r="A96" t="s">
        <v>101</v>
      </c>
      <c r="T96">
        <v>1484</v>
      </c>
      <c r="U96">
        <v>0</v>
      </c>
      <c r="V96">
        <v>2824</v>
      </c>
    </row>
    <row r="97" spans="1:24">
      <c r="A97" t="s">
        <v>102</v>
      </c>
      <c r="T97">
        <f>-27-307-226</f>
        <v>-560</v>
      </c>
      <c r="U97">
        <f>0-80</f>
        <v>-80</v>
      </c>
      <c r="V97">
        <f>-2675-25</f>
        <v>-2700</v>
      </c>
    </row>
    <row r="98" spans="1:24">
      <c r="A98" t="s">
        <v>94</v>
      </c>
      <c r="T98">
        <v>0</v>
      </c>
      <c r="U98">
        <v>-184</v>
      </c>
      <c r="V98">
        <v>-171</v>
      </c>
    </row>
    <row r="99" spans="1:24">
      <c r="A99" t="s">
        <v>46</v>
      </c>
      <c r="T99">
        <v>74</v>
      </c>
      <c r="U99">
        <v>-68</v>
      </c>
      <c r="V99">
        <v>-37</v>
      </c>
    </row>
    <row r="100" spans="1:24">
      <c r="A100" t="s">
        <v>103</v>
      </c>
      <c r="T100">
        <f>SUM(T94:T99)</f>
        <v>1780</v>
      </c>
      <c r="U100">
        <f>SUM(U94:U99)</f>
        <v>15</v>
      </c>
      <c r="V100">
        <f>SUM(V94:V99)</f>
        <v>46</v>
      </c>
      <c r="X100" t="s">
        <v>6</v>
      </c>
    </row>
    <row r="101" spans="1:24">
      <c r="A101" t="s">
        <v>6</v>
      </c>
      <c r="T101" t="s">
        <v>6</v>
      </c>
      <c r="U101" t="s">
        <v>6</v>
      </c>
    </row>
    <row r="102" spans="1:24">
      <c r="A102" t="s">
        <v>104</v>
      </c>
      <c r="T102">
        <f>+T85+T92+T100</f>
        <v>-975</v>
      </c>
      <c r="U102">
        <f>+U85+U92+U100</f>
        <v>-929</v>
      </c>
      <c r="V102">
        <f>+V85+V92+V100</f>
        <v>493</v>
      </c>
      <c r="W102" t="s">
        <v>6</v>
      </c>
    </row>
    <row r="103" spans="1:24">
      <c r="U103">
        <f>+U102/U28</f>
        <v>0.11195468787659676</v>
      </c>
      <c r="V103">
        <f>+V102/V28</f>
        <v>0.16820197884680996</v>
      </c>
      <c r="X103" t="s">
        <v>6</v>
      </c>
    </row>
    <row r="104" spans="1:24">
      <c r="A104" t="s">
        <v>105</v>
      </c>
      <c r="T104">
        <f t="shared" ref="T104:V104" si="78">62/T102</f>
        <v>-6.3589743589743591E-2</v>
      </c>
      <c r="U104">
        <f t="shared" si="78"/>
        <v>-6.6738428417653387E-2</v>
      </c>
      <c r="V104">
        <f>62/V102</f>
        <v>0.12576064908722109</v>
      </c>
    </row>
    <row r="105" spans="1:24">
      <c r="U10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1CAA4-198B-4514-8F21-0B4932DFB161}">
  <dimension ref="A3:L4"/>
  <sheetViews>
    <sheetView workbookViewId="0">
      <selection activeCell="U12" sqref="U12"/>
    </sheetView>
  </sheetViews>
  <sheetFormatPr defaultRowHeight="15"/>
  <sheetData>
    <row r="3" spans="1:12">
      <c r="B3">
        <v>2018</v>
      </c>
      <c r="C3">
        <f t="shared" ref="C3:H3" si="0">+B3+1</f>
        <v>2019</v>
      </c>
      <c r="D3">
        <f t="shared" si="0"/>
        <v>2020</v>
      </c>
      <c r="E3">
        <f t="shared" si="0"/>
        <v>2021</v>
      </c>
      <c r="F3">
        <f t="shared" si="0"/>
        <v>2022</v>
      </c>
      <c r="G3">
        <f t="shared" si="0"/>
        <v>2023</v>
      </c>
      <c r="H3">
        <f t="shared" si="0"/>
        <v>2024</v>
      </c>
      <c r="I3" t="s">
        <v>6</v>
      </c>
      <c r="J3" t="s">
        <v>6</v>
      </c>
      <c r="K3" t="s">
        <v>6</v>
      </c>
      <c r="L3" t="s">
        <v>6</v>
      </c>
    </row>
    <row r="4" spans="1:12">
      <c r="A4" t="s">
        <v>106</v>
      </c>
      <c r="B4">
        <v>-4321</v>
      </c>
      <c r="C4">
        <v>-2748</v>
      </c>
      <c r="D4">
        <v>-445</v>
      </c>
      <c r="E4">
        <v>642</v>
      </c>
      <c r="F4">
        <v>3585</v>
      </c>
      <c r="G4">
        <v>7137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2024-12-20T20:38:44Z</dcterms:created>
  <dcterms:modified xsi:type="dcterms:W3CDTF">2025-02-08T10:06:39Z</dcterms:modified>
  <cp:category/>
  <cp:contentStatus/>
</cp:coreProperties>
</file>