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838" documentId="8_{432F4035-337E-469E-B283-5A45046071CB}" xr6:coauthVersionLast="47" xr6:coauthVersionMax="47" xr10:uidLastSave="{037059E8-3757-4317-8384-F2A3AD163BF5}"/>
  <bookViews>
    <workbookView xWindow="28695" yWindow="0" windowWidth="14610" windowHeight="15585" activeTab="1" xr2:uid="{18A86E95-8B10-489E-83AC-494A7C661C8F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2" i="3" l="1"/>
  <c r="V43" i="3" s="1"/>
  <c r="V31" i="3"/>
  <c r="V28" i="3"/>
  <c r="V36" i="3" s="1"/>
  <c r="V44" i="3" s="1"/>
  <c r="W9" i="3"/>
  <c r="X9" i="3" s="1"/>
  <c r="W7" i="3"/>
  <c r="X7" i="3" s="1"/>
  <c r="N17" i="3"/>
  <c r="O17" i="3" s="1"/>
  <c r="P17" i="3" s="1"/>
  <c r="Q17" i="3" s="1"/>
  <c r="N12" i="3"/>
  <c r="O12" i="3" s="1"/>
  <c r="P12" i="3" s="1"/>
  <c r="Q12" i="3" s="1"/>
  <c r="Q10" i="3"/>
  <c r="Q9" i="3"/>
  <c r="P9" i="3"/>
  <c r="O9" i="3"/>
  <c r="N9" i="3"/>
  <c r="Q8" i="3"/>
  <c r="P8" i="3"/>
  <c r="O8" i="3"/>
  <c r="N8" i="3"/>
  <c r="W8" i="3" s="1"/>
  <c r="X8" i="3" s="1"/>
  <c r="Q7" i="3"/>
  <c r="P7" i="3"/>
  <c r="O7" i="3"/>
  <c r="N7" i="3"/>
  <c r="Q6" i="3"/>
  <c r="P6" i="3"/>
  <c r="P10" i="3" s="1"/>
  <c r="O6" i="3"/>
  <c r="N6" i="3"/>
  <c r="N10" i="3" s="1"/>
  <c r="N3" i="3"/>
  <c r="N4" i="3" s="1"/>
  <c r="V45" i="3" l="1"/>
  <c r="O10" i="3"/>
  <c r="O3" i="3"/>
  <c r="P3" i="3" s="1"/>
  <c r="W6" i="3"/>
  <c r="X6" i="3" s="1"/>
  <c r="O4" i="3"/>
  <c r="O5" i="3" s="1"/>
  <c r="O11" i="3" s="1"/>
  <c r="O13" i="3" s="1"/>
  <c r="N5" i="3"/>
  <c r="N11" i="3" s="1"/>
  <c r="N13" i="3" s="1"/>
  <c r="X10" i="3" l="1"/>
  <c r="W10" i="3"/>
  <c r="O14" i="3"/>
  <c r="O15" i="3" s="1"/>
  <c r="O16" i="3" s="1"/>
  <c r="N14" i="3"/>
  <c r="N15" i="3"/>
  <c r="N16" i="3" s="1"/>
  <c r="Q3" i="3"/>
  <c r="W3" i="3" s="1"/>
  <c r="P4" i="3"/>
  <c r="P5" i="3" s="1"/>
  <c r="P11" i="3" s="1"/>
  <c r="P13" i="3" s="1"/>
  <c r="X3" i="3" l="1"/>
  <c r="P14" i="3"/>
  <c r="P15" i="3" s="1"/>
  <c r="P16" i="3" s="1"/>
  <c r="Q4" i="3"/>
  <c r="Q5" i="3" l="1"/>
  <c r="Q11" i="3" s="1"/>
  <c r="Q13" i="3" s="1"/>
  <c r="W4" i="3"/>
  <c r="Q14" i="3"/>
  <c r="Q15" i="3" s="1"/>
  <c r="Q16" i="3" s="1"/>
  <c r="X4" i="3" l="1"/>
  <c r="X5" i="3" s="1"/>
  <c r="X11" i="3" s="1"/>
  <c r="X13" i="3" s="1"/>
  <c r="X14" i="3" s="1"/>
  <c r="W5" i="3"/>
  <c r="W11" i="3" s="1"/>
  <c r="W13" i="3" s="1"/>
  <c r="W14" i="3" l="1"/>
  <c r="W15" i="3" s="1"/>
  <c r="X15" i="3" l="1"/>
  <c r="Y15" i="3" l="1"/>
  <c r="V23" i="3"/>
  <c r="U23" i="3"/>
  <c r="T21" i="3"/>
  <c r="V17" i="3"/>
  <c r="W17" i="3" s="1"/>
  <c r="V14" i="3"/>
  <c r="V12" i="3"/>
  <c r="V9" i="3"/>
  <c r="V24" i="3" s="1"/>
  <c r="V8" i="3"/>
  <c r="V7" i="3"/>
  <c r="V22" i="3" s="1"/>
  <c r="V6" i="3"/>
  <c r="V21" i="3" s="1"/>
  <c r="V5" i="3"/>
  <c r="V11" i="3" s="1"/>
  <c r="V4" i="3"/>
  <c r="V3" i="3"/>
  <c r="V19" i="3" s="1"/>
  <c r="U17" i="3"/>
  <c r="U14" i="3"/>
  <c r="U9" i="3"/>
  <c r="U24" i="3" s="1"/>
  <c r="U8" i="3"/>
  <c r="U7" i="3"/>
  <c r="U22" i="3" s="1"/>
  <c r="U6" i="3"/>
  <c r="U4" i="3"/>
  <c r="U3" i="3"/>
  <c r="U5" i="3" s="1"/>
  <c r="T17" i="3"/>
  <c r="T14" i="3"/>
  <c r="T9" i="3"/>
  <c r="T24" i="3" s="1"/>
  <c r="T8" i="3"/>
  <c r="T23" i="3" s="1"/>
  <c r="T7" i="3"/>
  <c r="T22" i="3" s="1"/>
  <c r="T6" i="3"/>
  <c r="T4" i="3"/>
  <c r="T3" i="3"/>
  <c r="T5" i="3" s="1"/>
  <c r="B24" i="3"/>
  <c r="B21" i="3"/>
  <c r="B12" i="3"/>
  <c r="T12" i="3" s="1"/>
  <c r="B10" i="3"/>
  <c r="B5" i="3"/>
  <c r="B20" i="3" s="1"/>
  <c r="U2" i="3"/>
  <c r="V2" i="3" s="1"/>
  <c r="W2" i="3" s="1"/>
  <c r="X2" i="3" s="1"/>
  <c r="Y2" i="3" s="1"/>
  <c r="Z2" i="3" s="1"/>
  <c r="AA2" i="3" s="1"/>
  <c r="AB2" i="3" s="1"/>
  <c r="L24" i="3"/>
  <c r="K24" i="3"/>
  <c r="J24" i="3"/>
  <c r="I24" i="3"/>
  <c r="H24" i="3"/>
  <c r="G24" i="3"/>
  <c r="F24" i="3"/>
  <c r="E24" i="3"/>
  <c r="D24" i="3"/>
  <c r="C24" i="3"/>
  <c r="L23" i="3"/>
  <c r="K23" i="3"/>
  <c r="J23" i="3"/>
  <c r="I23" i="3"/>
  <c r="H23" i="3"/>
  <c r="G23" i="3"/>
  <c r="F23" i="3"/>
  <c r="E23" i="3"/>
  <c r="D23" i="3"/>
  <c r="L22" i="3"/>
  <c r="K22" i="3"/>
  <c r="J22" i="3"/>
  <c r="I22" i="3"/>
  <c r="H22" i="3"/>
  <c r="G22" i="3"/>
  <c r="F22" i="3"/>
  <c r="E22" i="3"/>
  <c r="D22" i="3"/>
  <c r="L21" i="3"/>
  <c r="K21" i="3"/>
  <c r="J21" i="3"/>
  <c r="I21" i="3"/>
  <c r="H21" i="3"/>
  <c r="G21" i="3"/>
  <c r="F21" i="3"/>
  <c r="E21" i="3"/>
  <c r="D21" i="3"/>
  <c r="C21" i="3"/>
  <c r="H20" i="3"/>
  <c r="G20" i="3"/>
  <c r="F20" i="3"/>
  <c r="E20" i="3"/>
  <c r="L19" i="3"/>
  <c r="K19" i="3"/>
  <c r="J19" i="3"/>
  <c r="I19" i="3"/>
  <c r="H19" i="3"/>
  <c r="G19" i="3"/>
  <c r="M24" i="3"/>
  <c r="M23" i="3"/>
  <c r="M22" i="3"/>
  <c r="M21" i="3"/>
  <c r="M20" i="3"/>
  <c r="M19" i="3"/>
  <c r="C12" i="3"/>
  <c r="C10" i="3"/>
  <c r="C5" i="3"/>
  <c r="C20" i="3" s="1"/>
  <c r="D12" i="3"/>
  <c r="D5" i="3"/>
  <c r="D20" i="3" s="1"/>
  <c r="D10" i="3"/>
  <c r="T10" i="3" s="1"/>
  <c r="F11" i="3"/>
  <c r="F25" i="3" s="1"/>
  <c r="E11" i="3"/>
  <c r="E25" i="3" s="1"/>
  <c r="E12" i="3"/>
  <c r="E10" i="3"/>
  <c r="E5" i="3"/>
  <c r="F12" i="3"/>
  <c r="F10" i="3"/>
  <c r="F5" i="3"/>
  <c r="J10" i="3"/>
  <c r="V10" i="3" s="1"/>
  <c r="J5" i="3"/>
  <c r="J20" i="3" s="1"/>
  <c r="G10" i="3"/>
  <c r="G5" i="3"/>
  <c r="K10" i="3"/>
  <c r="K5" i="3"/>
  <c r="K20" i="3" s="1"/>
  <c r="I12" i="3"/>
  <c r="I10" i="3"/>
  <c r="U10" i="3" s="1"/>
  <c r="I5" i="3"/>
  <c r="I20" i="3" s="1"/>
  <c r="M10" i="3"/>
  <c r="M5" i="3"/>
  <c r="H12" i="3"/>
  <c r="U12" i="3" s="1"/>
  <c r="H5" i="3"/>
  <c r="L11" i="3"/>
  <c r="L25" i="3" s="1"/>
  <c r="L10" i="3"/>
  <c r="L5" i="3"/>
  <c r="L20" i="3" s="1"/>
  <c r="C5" i="1"/>
  <c r="C4" i="1"/>
  <c r="C7" i="1" s="1"/>
  <c r="U20" i="3" l="1"/>
  <c r="U11" i="3"/>
  <c r="V25" i="3"/>
  <c r="V13" i="3"/>
  <c r="V15" i="3" s="1"/>
  <c r="V47" i="3" s="1"/>
  <c r="V26" i="3"/>
  <c r="T11" i="3"/>
  <c r="T20" i="3"/>
  <c r="V20" i="3"/>
  <c r="U21" i="3"/>
  <c r="U19" i="3"/>
  <c r="L13" i="3"/>
  <c r="W16" i="3"/>
  <c r="X17" i="3"/>
  <c r="Z15" i="3"/>
  <c r="B11" i="3"/>
  <c r="C11" i="3"/>
  <c r="D11" i="3"/>
  <c r="E13" i="3"/>
  <c r="F13" i="3"/>
  <c r="J11" i="3"/>
  <c r="G11" i="3"/>
  <c r="K11" i="3"/>
  <c r="I11" i="3"/>
  <c r="M11" i="3"/>
  <c r="H11" i="3"/>
  <c r="J13" i="3" l="1"/>
  <c r="J25" i="3"/>
  <c r="Y17" i="3"/>
  <c r="X16" i="3"/>
  <c r="E15" i="3"/>
  <c r="E16" i="3" s="1"/>
  <c r="E26" i="3"/>
  <c r="C13" i="3"/>
  <c r="C25" i="3"/>
  <c r="AA15" i="3"/>
  <c r="H13" i="3"/>
  <c r="H25" i="3"/>
  <c r="L15" i="3"/>
  <c r="L16" i="3" s="1"/>
  <c r="L26" i="3"/>
  <c r="I15" i="3"/>
  <c r="I16" i="3" s="1"/>
  <c r="I25" i="3"/>
  <c r="I13" i="3"/>
  <c r="I26" i="3" s="1"/>
  <c r="K13" i="3"/>
  <c r="K25" i="3"/>
  <c r="F15" i="3"/>
  <c r="F16" i="3" s="1"/>
  <c r="F26" i="3"/>
  <c r="T13" i="3"/>
  <c r="T25" i="3"/>
  <c r="D13" i="3"/>
  <c r="D25" i="3"/>
  <c r="M13" i="3"/>
  <c r="M25" i="3"/>
  <c r="B13" i="3"/>
  <c r="B25" i="3"/>
  <c r="V16" i="3"/>
  <c r="U13" i="3"/>
  <c r="U25" i="3"/>
  <c r="G13" i="3"/>
  <c r="G25" i="3"/>
  <c r="D15" i="3" l="1"/>
  <c r="D16" i="3" s="1"/>
  <c r="D26" i="3"/>
  <c r="U15" i="3"/>
  <c r="U16" i="3" s="1"/>
  <c r="U26" i="3"/>
  <c r="H15" i="3"/>
  <c r="H16" i="3" s="1"/>
  <c r="H26" i="3"/>
  <c r="C15" i="3"/>
  <c r="C16" i="3" s="1"/>
  <c r="C26" i="3"/>
  <c r="B15" i="3"/>
  <c r="B16" i="3" s="1"/>
  <c r="B26" i="3"/>
  <c r="T26" i="3"/>
  <c r="T15" i="3"/>
  <c r="T16" i="3" s="1"/>
  <c r="Z17" i="3"/>
  <c r="Y16" i="3"/>
  <c r="M15" i="3"/>
  <c r="M16" i="3" s="1"/>
  <c r="M26" i="3"/>
  <c r="K15" i="3"/>
  <c r="K16" i="3" s="1"/>
  <c r="K26" i="3"/>
  <c r="G15" i="3"/>
  <c r="G16" i="3" s="1"/>
  <c r="G26" i="3"/>
  <c r="AB15" i="3"/>
  <c r="J15" i="3"/>
  <c r="J16" i="3" s="1"/>
  <c r="J26" i="3"/>
  <c r="AC15" i="3" l="1"/>
  <c r="AA17" i="3"/>
  <c r="Z16" i="3"/>
  <c r="AD15" i="3" l="1"/>
  <c r="AB17" i="3"/>
  <c r="AA16" i="3"/>
  <c r="AC17" i="3" l="1"/>
  <c r="AB16" i="3"/>
  <c r="AE15" i="3"/>
  <c r="AF15" i="3" l="1"/>
  <c r="AD17" i="3"/>
  <c r="AC16" i="3"/>
  <c r="AE17" i="3" l="1"/>
  <c r="AD16" i="3"/>
  <c r="AG15" i="3"/>
  <c r="AH15" i="3" l="1"/>
  <c r="AF17" i="3"/>
  <c r="AE16" i="3"/>
  <c r="AG17" i="3" l="1"/>
  <c r="AF16" i="3"/>
  <c r="AI15" i="3"/>
  <c r="AJ15" i="3" l="1"/>
  <c r="AH17" i="3"/>
  <c r="AG16" i="3"/>
  <c r="AI17" i="3" l="1"/>
  <c r="AH16" i="3"/>
  <c r="AK15" i="3"/>
  <c r="AL15" i="3" l="1"/>
  <c r="AM15" i="3" s="1"/>
  <c r="AN15" i="3" s="1"/>
  <c r="AO15" i="3" s="1"/>
  <c r="Q20" i="3" s="1"/>
  <c r="Q21" i="3" s="1"/>
  <c r="AJ17" i="3"/>
  <c r="AI16" i="3"/>
  <c r="AK17" i="3" l="1"/>
  <c r="AK16" i="3" s="1"/>
  <c r="AJ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tc={09640A58-FA03-48FF-8CB7-76AB4219A0BF}</author>
  </authors>
  <commentList>
    <comment ref="N3" authorId="0" shapeId="0" xr:uid="{09640A58-FA03-48FF-8CB7-76AB4219A0BF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483m guidance</t>
      </text>
    </comment>
  </commentList>
</comments>
</file>

<file path=xl/sharedStrings.xml><?xml version="1.0" encoding="utf-8"?>
<sst xmlns="http://schemas.openxmlformats.org/spreadsheetml/2006/main" count="114" uniqueCount="94">
  <si>
    <t>Price</t>
  </si>
  <si>
    <t>Shares</t>
  </si>
  <si>
    <t>MC</t>
  </si>
  <si>
    <t>Cash</t>
  </si>
  <si>
    <t>Debt</t>
  </si>
  <si>
    <t>EV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</si>
  <si>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</si>
  <si>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</si>
  <si>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</si>
  <si>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</si>
  <si>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</si>
  <si>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</si>
  <si>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</si>
  <si>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</si>
  <si>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</si>
  <si>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Costs</t>
  </si>
  <si>
    <t>Marketing</t>
  </si>
  <si>
    <t>GA</t>
  </si>
  <si>
    <t>OPEX</t>
  </si>
  <si>
    <t>Taxes</t>
  </si>
  <si>
    <t>NI</t>
  </si>
  <si>
    <t>EPS</t>
  </si>
  <si>
    <t xml:space="preserve"> </t>
  </si>
  <si>
    <t>Pros</t>
  </si>
  <si>
    <t>Cos</t>
  </si>
  <si>
    <t>Easy prescription services</t>
  </si>
  <si>
    <t>Anonymous and Secure Service</t>
  </si>
  <si>
    <t>Premium attention to detail</t>
  </si>
  <si>
    <t xml:space="preserve">Brandind Style </t>
  </si>
  <si>
    <t>Q122</t>
  </si>
  <si>
    <t>Q222</t>
  </si>
  <si>
    <t>Q322</t>
  </si>
  <si>
    <t>Q422</t>
  </si>
  <si>
    <t>Subscription model</t>
  </si>
  <si>
    <t>Competitors</t>
  </si>
  <si>
    <t>Henry Meds</t>
  </si>
  <si>
    <t>Weight Watchers</t>
  </si>
  <si>
    <t>Noom</t>
  </si>
  <si>
    <t>Ro.co</t>
  </si>
  <si>
    <t>Sectors</t>
  </si>
  <si>
    <t>Sexual</t>
  </si>
  <si>
    <t>Dermatology</t>
  </si>
  <si>
    <t>Mental Health</t>
  </si>
  <si>
    <t>Weight Loss</t>
  </si>
  <si>
    <t>80M</t>
  </si>
  <si>
    <t>100M</t>
  </si>
  <si>
    <t>PoP</t>
  </si>
  <si>
    <t>Advertisement Dependent</t>
  </si>
  <si>
    <t>Q125</t>
  </si>
  <si>
    <t xml:space="preserve">Gross profit </t>
  </si>
  <si>
    <t>Operations and Sup</t>
  </si>
  <si>
    <t>Tech and Dev</t>
  </si>
  <si>
    <t>Interest income</t>
  </si>
  <si>
    <t>EBIT</t>
  </si>
  <si>
    <t>Operating Profit</t>
  </si>
  <si>
    <t>rev y/y</t>
  </si>
  <si>
    <t xml:space="preserve">Gross % </t>
  </si>
  <si>
    <t>Marketing %</t>
  </si>
  <si>
    <t>.</t>
  </si>
  <si>
    <t>Operating &amp; Sup %</t>
  </si>
  <si>
    <t>Tech e Dev %</t>
  </si>
  <si>
    <t>GA %</t>
  </si>
  <si>
    <t>Operating %</t>
  </si>
  <si>
    <t>Taxe rate</t>
  </si>
  <si>
    <t>NPV</t>
  </si>
  <si>
    <t>Q225</t>
  </si>
  <si>
    <t>Q325</t>
  </si>
  <si>
    <t>Q425</t>
  </si>
  <si>
    <t>ROIC</t>
  </si>
  <si>
    <t>Per Share</t>
  </si>
  <si>
    <t xml:space="preserve">Cash </t>
  </si>
  <si>
    <t xml:space="preserve">Invetory </t>
  </si>
  <si>
    <t>Prepaids</t>
  </si>
  <si>
    <t xml:space="preserve">Goodwill </t>
  </si>
  <si>
    <t>PPE</t>
  </si>
  <si>
    <t>Lease</t>
  </si>
  <si>
    <t>DTA</t>
  </si>
  <si>
    <t>OLTA</t>
  </si>
  <si>
    <t>Assets</t>
  </si>
  <si>
    <t>AP</t>
  </si>
  <si>
    <t>AL</t>
  </si>
  <si>
    <t>DR</t>
  </si>
  <si>
    <t>Earnout</t>
  </si>
  <si>
    <t>OLTL</t>
  </si>
  <si>
    <t>SE</t>
  </si>
  <si>
    <t>L+SE</t>
  </si>
  <si>
    <t>Model NI</t>
  </si>
  <si>
    <t>Reported NI</t>
  </si>
  <si>
    <t>DA</t>
  </si>
  <si>
    <t>SBC</t>
  </si>
  <si>
    <t>Accretion</t>
  </si>
  <si>
    <t>Impairment</t>
  </si>
  <si>
    <t>Other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</si>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</sst>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9" fontId="0" fillId="0" borderId="0" xfId="0" applyNumberFormat="1"/>
    <xf numFmtId="3" fontId="1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7692A1C1-88C6-4FD8-A4AE-C274C76DB950}" userId="9ffda80931a57275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3" dT="2025-02-24T20:56:16.36" personId="{7692A1C1-88C6-4FD8-A4AE-C274C76DB950}" id="{09640A58-FA03-48FF-8CB7-76AB4219A0BF}">
    <text>483m 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0C66-A6CD-4647-9C91-80E643F65BB5}">
  <dimension ref="B2:M20"/>
  <sheetViews>
    <sheetView workbookViewId="0">
      <selection activeCell="C2" sqref="C2"/>
    </sheetView>
  </sheetViews>
  <sheetFormatPr defaultRowHeight="14.25" x14ac:dyDescent="0.2"/>
  <cols>
    <col min="9" max="9" width="11.75" bestFit="1" customWidth="1"/>
  </cols>
  <sheetData>
    <row r="2" spans="2:12" x14ac:dyDescent="0.2">
      <c r="B2" t="s">
        <v>0</v>
      </c>
      <c r="C2" s="1">
        <v>27</v>
      </c>
      <c r="I2" t="s">
        <v>46</v>
      </c>
    </row>
    <row r="3" spans="2:12" ht="15" x14ac:dyDescent="0.25">
      <c r="B3" t="s">
        <v>1</v>
      </c>
      <c r="C3" s="1">
        <v>220.8</v>
      </c>
      <c r="D3" t="s">
        <v>13</v>
      </c>
      <c r="G3" s="2" t="s">
        <v>39</v>
      </c>
      <c r="H3" t="s">
        <v>40</v>
      </c>
      <c r="I3" t="s">
        <v>44</v>
      </c>
      <c r="L3" s="2" t="s">
        <v>23</v>
      </c>
    </row>
    <row r="4" spans="2:12" x14ac:dyDescent="0.2">
      <c r="B4" t="s">
        <v>2</v>
      </c>
      <c r="C4" s="1">
        <f>+C3*C2</f>
        <v>5961.6</v>
      </c>
      <c r="H4" t="s">
        <v>41</v>
      </c>
      <c r="I4" t="s">
        <v>44</v>
      </c>
      <c r="L4" t="s">
        <v>33</v>
      </c>
    </row>
    <row r="5" spans="2:12" x14ac:dyDescent="0.2">
      <c r="B5" t="s">
        <v>3</v>
      </c>
      <c r="C5" s="1">
        <f>220.584+79.667</f>
        <v>300.25099999999998</v>
      </c>
      <c r="D5" t="s">
        <v>13</v>
      </c>
      <c r="H5" t="s">
        <v>42</v>
      </c>
      <c r="I5" t="s">
        <v>45</v>
      </c>
      <c r="L5" t="s">
        <v>25</v>
      </c>
    </row>
    <row r="6" spans="2:12" x14ac:dyDescent="0.2">
      <c r="B6" t="s">
        <v>4</v>
      </c>
      <c r="C6" s="1">
        <v>0</v>
      </c>
      <c r="D6" t="s">
        <v>13</v>
      </c>
      <c r="H6" t="s">
        <v>43</v>
      </c>
      <c r="I6" t="s">
        <v>45</v>
      </c>
      <c r="L6" t="s">
        <v>26</v>
      </c>
    </row>
    <row r="7" spans="2:12" x14ac:dyDescent="0.2">
      <c r="B7" t="s">
        <v>5</v>
      </c>
      <c r="C7" s="1">
        <f>+C4-C5+C6</f>
        <v>5661.3490000000002</v>
      </c>
      <c r="D7" t="s">
        <v>22</v>
      </c>
      <c r="L7" t="s">
        <v>27</v>
      </c>
    </row>
    <row r="8" spans="2:12" x14ac:dyDescent="0.2">
      <c r="L8" t="s">
        <v>28</v>
      </c>
    </row>
    <row r="10" spans="2:12" ht="15" x14ac:dyDescent="0.25">
      <c r="L10" s="2" t="s">
        <v>24</v>
      </c>
    </row>
    <row r="11" spans="2:12" x14ac:dyDescent="0.2">
      <c r="L11" t="s">
        <v>47</v>
      </c>
    </row>
    <row r="17" spans="12:13" ht="15" x14ac:dyDescent="0.25">
      <c r="L17" s="2" t="s">
        <v>34</v>
      </c>
      <c r="M17" t="s">
        <v>35</v>
      </c>
    </row>
    <row r="18" spans="12:13" x14ac:dyDescent="0.2">
      <c r="M18" t="s">
        <v>36</v>
      </c>
    </row>
    <row r="19" spans="12:13" x14ac:dyDescent="0.2">
      <c r="M19" t="s">
        <v>37</v>
      </c>
    </row>
    <row r="20" spans="12:13" x14ac:dyDescent="0.2">
      <c r="M20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F435-DD5C-4EED-878E-C94A7C741020}">
  <dimension ref="A2:XFD58"/>
  <sheetViews>
    <sheetView tabSelected="1" zoomScale="130" zoomScaleNormal="130"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A48" sqref="A48"/>
    </sheetView>
  </sheetViews>
  <sheetFormatPr defaultRowHeight="14.25" x14ac:dyDescent="0.2"/>
  <cols>
    <col min="1" max="1" width="17.375" bestFit="1" customWidth="1"/>
    <col min="17" max="17" width="9.75" bestFit="1" customWidth="1"/>
  </cols>
  <sheetData>
    <row r="2" spans="1:41 16384:16384" x14ac:dyDescent="0.2">
      <c r="B2" t="s">
        <v>29</v>
      </c>
      <c r="C2" t="s">
        <v>30</v>
      </c>
      <c r="D2" t="s">
        <v>31</v>
      </c>
      <c r="E2" t="s">
        <v>32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48</v>
      </c>
      <c r="O2" t="s">
        <v>65</v>
      </c>
      <c r="P2" t="s">
        <v>66</v>
      </c>
      <c r="Q2" t="s">
        <v>67</v>
      </c>
      <c r="T2">
        <v>2022</v>
      </c>
      <c r="U2">
        <f>+T2+1</f>
        <v>2023</v>
      </c>
      <c r="V2">
        <f t="shared" ref="V2:AD2" si="0">+U2+1</f>
        <v>2024</v>
      </c>
      <c r="W2">
        <f t="shared" si="0"/>
        <v>2025</v>
      </c>
      <c r="X2">
        <f t="shared" si="0"/>
        <v>2026</v>
      </c>
      <c r="Y2">
        <f t="shared" si="0"/>
        <v>2027</v>
      </c>
      <c r="Z2">
        <f t="shared" si="0"/>
        <v>2028</v>
      </c>
      <c r="AA2">
        <f t="shared" si="0"/>
        <v>2029</v>
      </c>
      <c r="AB2">
        <f t="shared" si="0"/>
        <v>2030</v>
      </c>
    </row>
    <row r="3" spans="1:41 16384:16384" ht="15" x14ac:dyDescent="0.25">
      <c r="A3" t="s">
        <v>14</v>
      </c>
      <c r="B3">
        <v>101.31399999999999</v>
      </c>
      <c r="C3">
        <v>113.563</v>
      </c>
      <c r="D3">
        <v>144.83600000000001</v>
      </c>
      <c r="E3">
        <v>167.203</v>
      </c>
      <c r="F3">
        <v>190.77</v>
      </c>
      <c r="G3">
        <v>207.91200000000001</v>
      </c>
      <c r="H3">
        <v>226.69900000000001</v>
      </c>
      <c r="I3">
        <v>246.619</v>
      </c>
      <c r="J3">
        <v>278.17099999999999</v>
      </c>
      <c r="K3">
        <v>315.64800000000002</v>
      </c>
      <c r="L3">
        <v>401.55599999999998</v>
      </c>
      <c r="M3">
        <v>481.13900000000001</v>
      </c>
      <c r="N3" s="4">
        <f>+M3+15</f>
        <v>496.13900000000001</v>
      </c>
      <c r="O3" s="4">
        <f t="shared" ref="O3:Q3" si="1">+N3+50</f>
        <v>546.13900000000001</v>
      </c>
      <c r="P3" s="4">
        <f t="shared" si="1"/>
        <v>596.13900000000001</v>
      </c>
      <c r="Q3" s="4">
        <f t="shared" si="1"/>
        <v>646.13900000000001</v>
      </c>
      <c r="T3">
        <f>+SUM(B3:E3)</f>
        <v>526.91600000000005</v>
      </c>
      <c r="U3">
        <f>+SUM(F3:I3)</f>
        <v>872.00000000000011</v>
      </c>
      <c r="V3">
        <f>+SUM(J3:M3)</f>
        <v>1476.5140000000001</v>
      </c>
      <c r="W3" s="1">
        <f>+SUM(N3:Q3)</f>
        <v>2284.556</v>
      </c>
      <c r="X3">
        <f>+W3*1.2</f>
        <v>2741.4672</v>
      </c>
    </row>
    <row r="4" spans="1:41 16384:16384" x14ac:dyDescent="0.2">
      <c r="A4" t="s">
        <v>15</v>
      </c>
      <c r="B4">
        <v>26.558</v>
      </c>
      <c r="C4">
        <v>26.387</v>
      </c>
      <c r="D4">
        <v>30.382999999999999</v>
      </c>
      <c r="E4">
        <v>34.866</v>
      </c>
      <c r="F4">
        <v>37.344999999999999</v>
      </c>
      <c r="G4">
        <v>37.753999999999998</v>
      </c>
      <c r="H4">
        <v>39.390999999999998</v>
      </c>
      <c r="I4">
        <v>42.561</v>
      </c>
      <c r="J4">
        <v>49.076000000000001</v>
      </c>
      <c r="K4">
        <v>59.034999999999997</v>
      </c>
      <c r="L4">
        <v>83.67</v>
      </c>
      <c r="M4">
        <v>111.59869999999999</v>
      </c>
      <c r="N4" s="5">
        <f>+N3*0.2</f>
        <v>99.227800000000002</v>
      </c>
      <c r="O4" s="5">
        <f>+O3*0.2</f>
        <v>109.2278</v>
      </c>
      <c r="P4" s="5">
        <f>+P3*0.2</f>
        <v>119.2278</v>
      </c>
      <c r="Q4" s="5">
        <f>+Q3*0.2</f>
        <v>129.2278</v>
      </c>
      <c r="T4">
        <f>+SUM(B4:E4)</f>
        <v>118.194</v>
      </c>
      <c r="U4">
        <f t="shared" ref="U4:U14" si="2">+SUM(F4:I4)</f>
        <v>157.05099999999999</v>
      </c>
      <c r="V4">
        <f>+SUM(J4:M4)</f>
        <v>303.37970000000001</v>
      </c>
      <c r="W4" s="1">
        <f>+SUM(N4:Q4)</f>
        <v>456.91120000000001</v>
      </c>
      <c r="X4">
        <f>+W4*1.2</f>
        <v>548.29344000000003</v>
      </c>
    </row>
    <row r="5" spans="1:41 16384:16384" x14ac:dyDescent="0.2">
      <c r="A5" t="s">
        <v>49</v>
      </c>
      <c r="B5">
        <f>+B3-B4</f>
        <v>74.756</v>
      </c>
      <c r="C5">
        <f>+C3-C4</f>
        <v>87.176000000000002</v>
      </c>
      <c r="D5">
        <f>+D3-D4</f>
        <v>114.45300000000002</v>
      </c>
      <c r="E5">
        <f>+E3-E4</f>
        <v>132.33699999999999</v>
      </c>
      <c r="F5">
        <f>+F3-F4</f>
        <v>153.42500000000001</v>
      </c>
      <c r="G5">
        <f>+G3-G4</f>
        <v>170.15800000000002</v>
      </c>
      <c r="H5">
        <f>+H3-H4</f>
        <v>187.30800000000002</v>
      </c>
      <c r="I5">
        <f>+I3-I4</f>
        <v>204.05799999999999</v>
      </c>
      <c r="J5">
        <f>+J3-J4</f>
        <v>229.095</v>
      </c>
      <c r="K5">
        <f>+K3-K4</f>
        <v>256.61300000000006</v>
      </c>
      <c r="L5">
        <f>+L3-L4</f>
        <v>317.88599999999997</v>
      </c>
      <c r="M5">
        <f>+M3-M4</f>
        <v>369.5403</v>
      </c>
      <c r="N5" s="5">
        <f t="shared" ref="N5:Q5" si="3">+N3-N4</f>
        <v>396.91120000000001</v>
      </c>
      <c r="O5" s="5">
        <f t="shared" si="3"/>
        <v>436.91120000000001</v>
      </c>
      <c r="P5" s="5">
        <f t="shared" si="3"/>
        <v>476.91120000000001</v>
      </c>
      <c r="Q5" s="5">
        <f t="shared" si="3"/>
        <v>516.91120000000001</v>
      </c>
      <c r="T5">
        <f>+T3-T4</f>
        <v>408.72200000000004</v>
      </c>
      <c r="U5">
        <f>+U3-U4</f>
        <v>714.94900000000007</v>
      </c>
      <c r="V5">
        <f>+V3-V4</f>
        <v>1173.1343000000002</v>
      </c>
      <c r="W5">
        <f>+W3-W4</f>
        <v>1827.6448</v>
      </c>
      <c r="X5">
        <f>+X3-X4</f>
        <v>2193.1737600000001</v>
      </c>
      <c r="XFD5" t="s">
        <v>22</v>
      </c>
    </row>
    <row r="6" spans="1:41 16384:16384" x14ac:dyDescent="0.2">
      <c r="A6" t="s">
        <v>16</v>
      </c>
      <c r="B6">
        <v>48.093000000000004</v>
      </c>
      <c r="C6">
        <v>60.49</v>
      </c>
      <c r="D6">
        <v>78.462000000000003</v>
      </c>
      <c r="E6">
        <v>85.542000000000002</v>
      </c>
      <c r="F6">
        <v>97.424999999999997</v>
      </c>
      <c r="G6">
        <v>107.21899999999999</v>
      </c>
      <c r="H6">
        <v>116.07599999999999</v>
      </c>
      <c r="I6">
        <v>125.895</v>
      </c>
      <c r="J6">
        <v>130.553</v>
      </c>
      <c r="K6">
        <v>144.922</v>
      </c>
      <c r="L6">
        <v>182.28399999999999</v>
      </c>
      <c r="M6">
        <v>221.08500000000001</v>
      </c>
      <c r="N6" s="5">
        <f>+J6*1.5</f>
        <v>195.8295</v>
      </c>
      <c r="O6" s="5">
        <f t="shared" ref="O6:Q6" si="4">+K6*1.3</f>
        <v>188.39860000000002</v>
      </c>
      <c r="P6" s="5">
        <f t="shared" si="4"/>
        <v>236.9692</v>
      </c>
      <c r="Q6" s="5">
        <f t="shared" si="4"/>
        <v>287.41050000000001</v>
      </c>
      <c r="T6">
        <f t="shared" ref="T6:T14" si="5">+SUM(B6:E6)</f>
        <v>272.58699999999999</v>
      </c>
      <c r="U6">
        <f t="shared" si="2"/>
        <v>446.61500000000001</v>
      </c>
      <c r="V6">
        <f t="shared" ref="V6:V14" si="6">+SUM(J6:M6)</f>
        <v>678.84400000000005</v>
      </c>
      <c r="W6" s="1">
        <f t="shared" ref="W6:X10" si="7">+SUM(N6:Q6)</f>
        <v>908.6078</v>
      </c>
      <c r="X6">
        <f>+W6*1.3</f>
        <v>1181.1901399999999</v>
      </c>
    </row>
    <row r="7" spans="1:41 16384:16384" x14ac:dyDescent="0.2">
      <c r="A7" t="s">
        <v>50</v>
      </c>
      <c r="B7" t="s">
        <v>58</v>
      </c>
      <c r="C7" t="s">
        <v>58</v>
      </c>
      <c r="D7">
        <v>21.751000000000001</v>
      </c>
      <c r="E7">
        <v>22.521000000000001</v>
      </c>
      <c r="F7">
        <v>26.181999999999999</v>
      </c>
      <c r="G7">
        <v>29.227</v>
      </c>
      <c r="H7">
        <v>31.068999999999999</v>
      </c>
      <c r="I7">
        <v>32.838999999999999</v>
      </c>
      <c r="J7">
        <v>38.747</v>
      </c>
      <c r="K7">
        <v>41.453000000000003</v>
      </c>
      <c r="L7">
        <v>47.518999999999998</v>
      </c>
      <c r="M7">
        <v>58.082999999999998</v>
      </c>
      <c r="N7" s="5">
        <f t="shared" ref="N7:Q9" si="8">+J7*1.2</f>
        <v>46.496400000000001</v>
      </c>
      <c r="O7" s="5">
        <f t="shared" si="8"/>
        <v>49.743600000000001</v>
      </c>
      <c r="P7" s="5">
        <f t="shared" si="8"/>
        <v>57.022799999999997</v>
      </c>
      <c r="Q7" s="5">
        <f t="shared" si="8"/>
        <v>69.69959999999999</v>
      </c>
      <c r="T7">
        <f t="shared" si="5"/>
        <v>44.272000000000006</v>
      </c>
      <c r="U7">
        <f t="shared" si="2"/>
        <v>119.31699999999999</v>
      </c>
      <c r="V7">
        <f t="shared" si="6"/>
        <v>185.80199999999999</v>
      </c>
      <c r="W7" s="1">
        <f t="shared" si="7"/>
        <v>222.9624</v>
      </c>
      <c r="X7">
        <f>+W7*1.2</f>
        <v>267.55487999999997</v>
      </c>
    </row>
    <row r="8" spans="1:41 16384:16384" x14ac:dyDescent="0.2">
      <c r="A8" t="s">
        <v>51</v>
      </c>
      <c r="B8" t="s">
        <v>58</v>
      </c>
      <c r="C8" t="s">
        <v>58</v>
      </c>
      <c r="D8">
        <v>7.9770000000000003</v>
      </c>
      <c r="E8">
        <v>8.3109999999999999</v>
      </c>
      <c r="F8">
        <v>10.747999999999999</v>
      </c>
      <c r="G8">
        <v>11.804</v>
      </c>
      <c r="H8">
        <v>12.27</v>
      </c>
      <c r="I8">
        <v>13.404999999999999</v>
      </c>
      <c r="J8">
        <v>15.324</v>
      </c>
      <c r="K8">
        <v>18.654</v>
      </c>
      <c r="L8">
        <v>21.091999999999999</v>
      </c>
      <c r="M8">
        <v>23.748999999999999</v>
      </c>
      <c r="N8" s="5">
        <f t="shared" si="8"/>
        <v>18.3888</v>
      </c>
      <c r="O8" s="5">
        <f t="shared" si="8"/>
        <v>22.384799999999998</v>
      </c>
      <c r="P8" s="5">
        <f t="shared" si="8"/>
        <v>25.310399999999998</v>
      </c>
      <c r="Q8" s="5">
        <f t="shared" si="8"/>
        <v>28.498799999999999</v>
      </c>
      <c r="T8">
        <f t="shared" si="5"/>
        <v>16.288</v>
      </c>
      <c r="U8">
        <f t="shared" si="2"/>
        <v>48.227000000000004</v>
      </c>
      <c r="V8">
        <f t="shared" si="6"/>
        <v>78.819000000000003</v>
      </c>
      <c r="W8" s="1">
        <f t="shared" si="7"/>
        <v>94.582800000000006</v>
      </c>
      <c r="X8">
        <f>+W8*1.2</f>
        <v>113.49936000000001</v>
      </c>
    </row>
    <row r="9" spans="1:41 16384:16384" x14ac:dyDescent="0.2">
      <c r="A9" t="s">
        <v>17</v>
      </c>
      <c r="B9">
        <v>43.582000000000001</v>
      </c>
      <c r="C9">
        <v>46.875999999999998</v>
      </c>
      <c r="D9">
        <v>26.245999999999999</v>
      </c>
      <c r="E9">
        <v>27.568000000000001</v>
      </c>
      <c r="F9">
        <v>30.513000000000002</v>
      </c>
      <c r="G9">
        <v>31.143999999999998</v>
      </c>
      <c r="H9">
        <v>35.906999999999996</v>
      </c>
      <c r="I9">
        <v>32.319000000000003</v>
      </c>
      <c r="J9">
        <v>34.567999999999998</v>
      </c>
      <c r="K9">
        <v>40.554000000000002</v>
      </c>
      <c r="L9">
        <v>44.616999999999997</v>
      </c>
      <c r="M9">
        <v>48.027999999999999</v>
      </c>
      <c r="N9" s="5">
        <f t="shared" si="8"/>
        <v>41.481599999999993</v>
      </c>
      <c r="O9" s="5">
        <f t="shared" si="8"/>
        <v>48.6648</v>
      </c>
      <c r="P9" s="5">
        <f t="shared" si="8"/>
        <v>53.540399999999998</v>
      </c>
      <c r="Q9" s="5">
        <f t="shared" si="8"/>
        <v>57.633599999999994</v>
      </c>
      <c r="T9">
        <f t="shared" si="5"/>
        <v>144.27199999999999</v>
      </c>
      <c r="U9">
        <f t="shared" si="2"/>
        <v>129.88299999999998</v>
      </c>
      <c r="V9">
        <f t="shared" si="6"/>
        <v>167.767</v>
      </c>
      <c r="W9" s="1">
        <f t="shared" si="7"/>
        <v>201.32040000000001</v>
      </c>
      <c r="X9">
        <f>+W9*1.15</f>
        <v>231.51845999999998</v>
      </c>
    </row>
    <row r="10" spans="1:41 16384:16384" x14ac:dyDescent="0.2">
      <c r="A10" t="s">
        <v>18</v>
      </c>
      <c r="B10">
        <f>+SUM(B6:B9)</f>
        <v>91.675000000000011</v>
      </c>
      <c r="C10">
        <f>+SUM(C6:C9)</f>
        <v>107.366</v>
      </c>
      <c r="D10">
        <f>+SUM(D6:D9)</f>
        <v>134.43600000000001</v>
      </c>
      <c r="E10">
        <f>+SUM(E6:E9)</f>
        <v>143.94200000000001</v>
      </c>
      <c r="F10">
        <f>+SUM(F6:F9)</f>
        <v>164.86799999999999</v>
      </c>
      <c r="G10">
        <f>+SUM(G6:G9)</f>
        <v>179.39400000000001</v>
      </c>
      <c r="H10">
        <v>195.86199999999999</v>
      </c>
      <c r="I10">
        <f>+SUM(I6:I9)</f>
        <v>204.45799999999997</v>
      </c>
      <c r="J10">
        <f>+SUM(J6:J9)</f>
        <v>219.19200000000001</v>
      </c>
      <c r="K10">
        <f>+SUM(K6:K9)</f>
        <v>245.583</v>
      </c>
      <c r="L10">
        <f>+SUM(L6:L9)</f>
        <v>295.512</v>
      </c>
      <c r="M10">
        <f>+SUM(M6:M9)</f>
        <v>350.94500000000005</v>
      </c>
      <c r="N10" s="5">
        <f t="shared" ref="N10:Q10" si="9">SUM(N6:N9)</f>
        <v>302.19630000000001</v>
      </c>
      <c r="O10" s="5">
        <f t="shared" si="9"/>
        <v>309.1918</v>
      </c>
      <c r="P10" s="5">
        <f t="shared" si="9"/>
        <v>372.84280000000001</v>
      </c>
      <c r="Q10" s="5">
        <f t="shared" si="9"/>
        <v>443.24250000000001</v>
      </c>
      <c r="T10">
        <f t="shared" si="5"/>
        <v>477.41899999999998</v>
      </c>
      <c r="U10">
        <f t="shared" si="2"/>
        <v>744.58199999999999</v>
      </c>
      <c r="V10">
        <f t="shared" si="6"/>
        <v>1111.232</v>
      </c>
      <c r="W10" s="1">
        <f t="shared" si="7"/>
        <v>1427.4734000000001</v>
      </c>
      <c r="X10" s="1">
        <f t="shared" si="7"/>
        <v>1125.2771</v>
      </c>
    </row>
    <row r="11" spans="1:41 16384:16384" x14ac:dyDescent="0.2">
      <c r="A11" t="s">
        <v>54</v>
      </c>
      <c r="B11">
        <f t="shared" ref="B11:F11" si="10">+B5-B10</f>
        <v>-16.919000000000011</v>
      </c>
      <c r="C11">
        <f t="shared" si="10"/>
        <v>-20.189999999999998</v>
      </c>
      <c r="D11">
        <f t="shared" si="10"/>
        <v>-19.98299999999999</v>
      </c>
      <c r="E11">
        <f t="shared" si="10"/>
        <v>-11.605000000000018</v>
      </c>
      <c r="F11">
        <f t="shared" si="10"/>
        <v>-11.442999999999984</v>
      </c>
      <c r="G11">
        <f>+G5-G10</f>
        <v>-9.23599999999999</v>
      </c>
      <c r="H11">
        <f>+H5-H10</f>
        <v>-8.5539999999999736</v>
      </c>
      <c r="I11">
        <f>+I5-I10</f>
        <v>-0.39999999999997726</v>
      </c>
      <c r="J11">
        <f>+J5-J10</f>
        <v>9.9029999999999916</v>
      </c>
      <c r="K11">
        <f>+K5-K10</f>
        <v>11.030000000000058</v>
      </c>
      <c r="L11">
        <f>+L5-L10</f>
        <v>22.373999999999967</v>
      </c>
      <c r="M11">
        <f>+M5-M10</f>
        <v>18.595299999999952</v>
      </c>
      <c r="N11" s="5">
        <f t="shared" ref="N11:Q11" si="11">N5-N10</f>
        <v>94.7149</v>
      </c>
      <c r="O11" s="5">
        <f t="shared" si="11"/>
        <v>127.71940000000001</v>
      </c>
      <c r="P11" s="5">
        <f t="shared" si="11"/>
        <v>104.0684</v>
      </c>
      <c r="Q11" s="5">
        <f t="shared" si="11"/>
        <v>73.668700000000001</v>
      </c>
      <c r="T11">
        <f>+T5-T10</f>
        <v>-68.696999999999946</v>
      </c>
      <c r="U11">
        <f>+U5-U10</f>
        <v>-29.632999999999925</v>
      </c>
      <c r="V11">
        <f>+V5-V10</f>
        <v>61.902300000000196</v>
      </c>
      <c r="W11">
        <f>+W5-W10</f>
        <v>400.17139999999995</v>
      </c>
      <c r="X11">
        <f>+X5-X10</f>
        <v>1067.8966600000001</v>
      </c>
    </row>
    <row r="12" spans="1:41 16384:16384" x14ac:dyDescent="0.2">
      <c r="A12" t="s">
        <v>52</v>
      </c>
      <c r="B12">
        <f>0.441+0.32</f>
        <v>0.76100000000000001</v>
      </c>
      <c r="C12">
        <f>0.121+0.402</f>
        <v>0.52300000000000002</v>
      </c>
      <c r="D12">
        <f>0.45+0.677</f>
        <v>1.127</v>
      </c>
      <c r="E12">
        <f>1.519-0.942</f>
        <v>0.57699999999999996</v>
      </c>
      <c r="F12">
        <f>-0.295+1.877</f>
        <v>1.5820000000000001</v>
      </c>
      <c r="G12">
        <v>2.2389999999999999</v>
      </c>
      <c r="H12">
        <f>-0.588+2.226</f>
        <v>1.6379999999999999</v>
      </c>
      <c r="I12">
        <f>2.615-0.019</f>
        <v>2.5960000000000001</v>
      </c>
      <c r="J12">
        <v>2.5</v>
      </c>
      <c r="K12">
        <v>2.3940000000000001</v>
      </c>
      <c r="L12">
        <v>1.2190000000000001</v>
      </c>
      <c r="M12">
        <v>3.6949999999999998</v>
      </c>
      <c r="N12" s="5">
        <f>+M12</f>
        <v>3.6949999999999998</v>
      </c>
      <c r="O12" s="5">
        <f>+N12</f>
        <v>3.6949999999999998</v>
      </c>
      <c r="P12" s="5">
        <f>+O12</f>
        <v>3.6949999999999998</v>
      </c>
      <c r="Q12" s="5">
        <f>+P12</f>
        <v>3.6949999999999998</v>
      </c>
      <c r="T12">
        <f t="shared" si="5"/>
        <v>2.988</v>
      </c>
      <c r="U12">
        <f t="shared" si="2"/>
        <v>8.0549999999999997</v>
      </c>
      <c r="V12">
        <f t="shared" si="6"/>
        <v>9.8079999999999998</v>
      </c>
    </row>
    <row r="13" spans="1:41 16384:16384" x14ac:dyDescent="0.2">
      <c r="A13" t="s">
        <v>53</v>
      </c>
      <c r="B13">
        <f>+B11+B12</f>
        <v>-16.158000000000012</v>
      </c>
      <c r="C13">
        <f>+C11+C12</f>
        <v>-19.666999999999998</v>
      </c>
      <c r="D13">
        <f>+D11+D12</f>
        <v>-18.855999999999991</v>
      </c>
      <c r="E13">
        <f>+E11+E12</f>
        <v>-11.028000000000018</v>
      </c>
      <c r="F13">
        <f>+F11+F12</f>
        <v>-9.8609999999999829</v>
      </c>
      <c r="G13">
        <f>+G11+G12</f>
        <v>-6.9969999999999901</v>
      </c>
      <c r="H13">
        <f>+H11+H12</f>
        <v>-6.9159999999999737</v>
      </c>
      <c r="I13">
        <f>+I11+I12</f>
        <v>2.1960000000000228</v>
      </c>
      <c r="J13">
        <f>+J11+J12</f>
        <v>12.402999999999992</v>
      </c>
      <c r="K13">
        <f>+K11+K12</f>
        <v>13.424000000000058</v>
      </c>
      <c r="L13">
        <f>+L11+L12</f>
        <v>23.592999999999968</v>
      </c>
      <c r="M13">
        <f>+M11+M12</f>
        <v>22.290299999999952</v>
      </c>
      <c r="N13" s="5">
        <f t="shared" ref="N13:Q13" si="12">+N11+N12</f>
        <v>98.409899999999993</v>
      </c>
      <c r="O13" s="5">
        <f t="shared" si="12"/>
        <v>131.4144</v>
      </c>
      <c r="P13" s="5">
        <f t="shared" si="12"/>
        <v>107.76339999999999</v>
      </c>
      <c r="Q13" s="5">
        <f t="shared" si="12"/>
        <v>77.363699999999994</v>
      </c>
      <c r="T13">
        <f>+T11+T12</f>
        <v>-65.708999999999946</v>
      </c>
      <c r="U13">
        <f>+U11+U12</f>
        <v>-21.577999999999925</v>
      </c>
      <c r="V13">
        <f>+V11+V12</f>
        <v>71.710300000000188</v>
      </c>
      <c r="W13">
        <f>+W11+W12</f>
        <v>400.17139999999995</v>
      </c>
      <c r="X13">
        <f>+X11+X12</f>
        <v>1067.8966600000001</v>
      </c>
    </row>
    <row r="14" spans="1:41 16384:16384" x14ac:dyDescent="0.2">
      <c r="A14" t="s">
        <v>19</v>
      </c>
      <c r="B14">
        <v>-9.4E-2</v>
      </c>
      <c r="C14">
        <v>-0.14499999999999999</v>
      </c>
      <c r="D14">
        <v>1.6E-2</v>
      </c>
      <c r="E14">
        <v>0.121</v>
      </c>
      <c r="F14">
        <v>-0.38600000000000001</v>
      </c>
      <c r="G14">
        <v>1.2999999999999999E-2</v>
      </c>
      <c r="H14">
        <v>-0.65100000000000002</v>
      </c>
      <c r="I14">
        <v>1.2450000000000001</v>
      </c>
      <c r="J14">
        <v>-1.2749999999999999</v>
      </c>
      <c r="K14">
        <v>-0.127</v>
      </c>
      <c r="L14">
        <v>51.994999999999997</v>
      </c>
      <c r="M14">
        <v>3.734</v>
      </c>
      <c r="N14" s="5">
        <f>+N13*0.1</f>
        <v>9.8409899999999997</v>
      </c>
      <c r="O14" s="5">
        <f>+O13*0.1</f>
        <v>13.141440000000001</v>
      </c>
      <c r="P14" s="5">
        <f>+P13*0.1</f>
        <v>10.776339999999999</v>
      </c>
      <c r="Q14" s="5">
        <f>+Q13*0.1</f>
        <v>7.73637</v>
      </c>
      <c r="T14">
        <f t="shared" si="5"/>
        <v>-0.10199999999999998</v>
      </c>
      <c r="U14">
        <f t="shared" si="2"/>
        <v>0.22100000000000009</v>
      </c>
      <c r="V14">
        <f t="shared" si="6"/>
        <v>54.326999999999998</v>
      </c>
      <c r="W14">
        <f>+W13*0.2</f>
        <v>80.034279999999995</v>
      </c>
      <c r="X14">
        <f>+X13*0.2</f>
        <v>213.57933200000002</v>
      </c>
    </row>
    <row r="15" spans="1:41 16384:16384" x14ac:dyDescent="0.2">
      <c r="A15" t="s">
        <v>20</v>
      </c>
      <c r="B15">
        <f>+B13+B14</f>
        <v>-16.252000000000013</v>
      </c>
      <c r="C15">
        <f>+C13+C14</f>
        <v>-19.811999999999998</v>
      </c>
      <c r="D15">
        <f>+D13+D14</f>
        <v>-18.839999999999993</v>
      </c>
      <c r="E15">
        <f>+E13+E14</f>
        <v>-10.907000000000018</v>
      </c>
      <c r="F15">
        <f>+F13+F14</f>
        <v>-10.246999999999982</v>
      </c>
      <c r="G15">
        <f>+G13+G14</f>
        <v>-6.9839999999999902</v>
      </c>
      <c r="H15">
        <f>+H13+H14</f>
        <v>-7.5669999999999735</v>
      </c>
      <c r="I15">
        <f>+I13+I14</f>
        <v>3.4410000000000229</v>
      </c>
      <c r="J15">
        <f>+J13+J14</f>
        <v>11.127999999999991</v>
      </c>
      <c r="K15">
        <f>+K13+K14</f>
        <v>13.297000000000057</v>
      </c>
      <c r="L15">
        <f>+L13+L14</f>
        <v>75.587999999999965</v>
      </c>
      <c r="M15">
        <f>+M13+M14</f>
        <v>26.024299999999954</v>
      </c>
      <c r="N15" s="5">
        <f t="shared" ref="N15:Q15" si="13">+N13+N14</f>
        <v>108.25089</v>
      </c>
      <c r="O15" s="5">
        <f t="shared" si="13"/>
        <v>144.55583999999999</v>
      </c>
      <c r="P15" s="5">
        <f t="shared" si="13"/>
        <v>118.53973999999999</v>
      </c>
      <c r="Q15" s="5">
        <f t="shared" si="13"/>
        <v>85.100069999999988</v>
      </c>
      <c r="T15">
        <f>+T13+T14</f>
        <v>-65.81099999999995</v>
      </c>
      <c r="U15">
        <f>+U13+U14</f>
        <v>-21.356999999999925</v>
      </c>
      <c r="V15">
        <f>+V13+V14</f>
        <v>126.03730000000019</v>
      </c>
      <c r="W15">
        <f>+W13+W14</f>
        <v>480.20567999999992</v>
      </c>
      <c r="X15">
        <f>+W15*1.2</f>
        <v>576.24681599999985</v>
      </c>
      <c r="Y15">
        <f t="shared" ref="Y15:AB15" si="14">+X15*1.2</f>
        <v>691.4961791999998</v>
      </c>
      <c r="Z15">
        <f t="shared" si="14"/>
        <v>829.79541503999974</v>
      </c>
      <c r="AA15">
        <f t="shared" si="14"/>
        <v>995.75449804799962</v>
      </c>
      <c r="AB15">
        <f t="shared" si="14"/>
        <v>1194.9053976575995</v>
      </c>
      <c r="AC15">
        <f>+AB15*0.99</f>
        <v>1182.9563436810236</v>
      </c>
      <c r="AD15">
        <f t="shared" ref="AD15:AO15" si="15">+AC15*0.99</f>
        <v>1171.1267802442133</v>
      </c>
      <c r="AE15">
        <f t="shared" si="15"/>
        <v>1159.4155124417712</v>
      </c>
      <c r="AF15">
        <f t="shared" si="15"/>
        <v>1147.8213573173534</v>
      </c>
      <c r="AG15">
        <f t="shared" si="15"/>
        <v>1136.34314374418</v>
      </c>
      <c r="AH15">
        <f t="shared" si="15"/>
        <v>1124.9797123067383</v>
      </c>
      <c r="AI15">
        <f t="shared" si="15"/>
        <v>1113.729915183671</v>
      </c>
      <c r="AJ15">
        <f t="shared" si="15"/>
        <v>1102.5926160318343</v>
      </c>
      <c r="AK15">
        <f t="shared" si="15"/>
        <v>1091.566689871516</v>
      </c>
      <c r="AL15">
        <f t="shared" si="15"/>
        <v>1080.6510229728008</v>
      </c>
      <c r="AM15">
        <f t="shared" si="15"/>
        <v>1069.8445127430728</v>
      </c>
      <c r="AN15">
        <f t="shared" si="15"/>
        <v>1059.1460676156421</v>
      </c>
      <c r="AO15">
        <f t="shared" si="15"/>
        <v>1048.5546069394857</v>
      </c>
    </row>
    <row r="16" spans="1:41 16384:16384" x14ac:dyDescent="0.2">
      <c r="A16" t="s">
        <v>21</v>
      </c>
      <c r="B16">
        <f>+B15/B17</f>
        <v>-8.0179580157379388E-2</v>
      </c>
      <c r="C16">
        <f>+C15/C17</f>
        <v>-9.7141932541959006E-2</v>
      </c>
      <c r="D16">
        <f>+D15/D17</f>
        <v>-9.17985499337335E-2</v>
      </c>
      <c r="E16">
        <f>+E15/E17</f>
        <v>-5.2910643252158815E-2</v>
      </c>
      <c r="F16">
        <f>+F15/F17</f>
        <v>-4.946895819252671E-2</v>
      </c>
      <c r="G16">
        <f>+G15/G17</f>
        <v>-3.2541538920314188E-2</v>
      </c>
      <c r="H16">
        <f>+H15/H17</f>
        <v>-3.6010355297096015E-2</v>
      </c>
      <c r="I16">
        <f>+I15/I17</f>
        <v>1.6263044464609907E-2</v>
      </c>
      <c r="J16">
        <f>+J15/J17</f>
        <v>5.2133500740213216E-2</v>
      </c>
      <c r="K16">
        <f>+K15/K17</f>
        <v>6.1956592643674147E-2</v>
      </c>
      <c r="L16">
        <f>+L15/L17</f>
        <v>0.34894768185322467</v>
      </c>
      <c r="M16">
        <f>+M15/M17</f>
        <v>0.11881777132499625</v>
      </c>
      <c r="N16" s="6">
        <f t="shared" ref="N16:Q16" si="16">+N15/N17</f>
        <v>0.49423536824227154</v>
      </c>
      <c r="O16" s="6">
        <f t="shared" si="16"/>
        <v>0.65999096001862778</v>
      </c>
      <c r="P16" s="6">
        <f t="shared" si="16"/>
        <v>0.54121062700032418</v>
      </c>
      <c r="Q16" s="6">
        <f t="shared" si="16"/>
        <v>0.38853689271185743</v>
      </c>
      <c r="T16">
        <f>+T15/T17</f>
        <v>-0.32180788639830982</v>
      </c>
      <c r="U16">
        <f>+U15/U17</f>
        <v>-0.10128089003125129</v>
      </c>
      <c r="V16">
        <f>+V15/V17</f>
        <v>0.58369923377414379</v>
      </c>
      <c r="W16">
        <f>+W15/W17</f>
        <v>2.2239106000365858</v>
      </c>
      <c r="X16">
        <f t="shared" ref="X16:AK16" si="17">+X15/X17</f>
        <v>2.6686927200439028</v>
      </c>
      <c r="Y16">
        <f t="shared" si="17"/>
        <v>3.2024312640526835</v>
      </c>
      <c r="Z16">
        <f t="shared" si="17"/>
        <v>3.8429175168632201</v>
      </c>
      <c r="AA16">
        <f t="shared" si="17"/>
        <v>4.6115010202358633</v>
      </c>
      <c r="AB16">
        <f t="shared" si="17"/>
        <v>5.5338012242830361</v>
      </c>
      <c r="AC16">
        <f t="shared" si="17"/>
        <v>5.4784632120402064</v>
      </c>
      <c r="AD16">
        <f t="shared" si="17"/>
        <v>5.4236785799198035</v>
      </c>
      <c r="AE16">
        <f t="shared" si="17"/>
        <v>5.3694417941206058</v>
      </c>
      <c r="AF16">
        <f t="shared" si="17"/>
        <v>5.3157473761793996</v>
      </c>
      <c r="AG16">
        <f t="shared" si="17"/>
        <v>5.2625899024176066</v>
      </c>
      <c r="AH16">
        <f t="shared" si="17"/>
        <v>5.2099640033934307</v>
      </c>
      <c r="AI16">
        <f t="shared" si="17"/>
        <v>5.1578643633594963</v>
      </c>
      <c r="AJ16">
        <f t="shared" si="17"/>
        <v>5.1062857197259017</v>
      </c>
      <c r="AK16">
        <f t="shared" si="17"/>
        <v>5.0552228625286428</v>
      </c>
    </row>
    <row r="17" spans="1:37" x14ac:dyDescent="0.2">
      <c r="A17" t="s">
        <v>1</v>
      </c>
      <c r="B17">
        <v>202.69499999999999</v>
      </c>
      <c r="C17">
        <v>203.94900000000001</v>
      </c>
      <c r="D17">
        <v>205.232</v>
      </c>
      <c r="E17">
        <v>206.14</v>
      </c>
      <c r="F17">
        <v>207.14</v>
      </c>
      <c r="G17">
        <v>214.61799999999999</v>
      </c>
      <c r="H17">
        <v>210.13399999999999</v>
      </c>
      <c r="I17">
        <v>211.584</v>
      </c>
      <c r="J17">
        <v>213.452</v>
      </c>
      <c r="K17">
        <v>214.61799999999999</v>
      </c>
      <c r="L17">
        <v>216.61699999999999</v>
      </c>
      <c r="M17">
        <v>219.02699999999999</v>
      </c>
      <c r="N17" s="5">
        <f t="shared" ref="N17:Q17" si="18">+M17</f>
        <v>219.02699999999999</v>
      </c>
      <c r="O17" s="5">
        <f t="shared" si="18"/>
        <v>219.02699999999999</v>
      </c>
      <c r="P17" s="5">
        <f t="shared" si="18"/>
        <v>219.02699999999999</v>
      </c>
      <c r="Q17" s="5">
        <f t="shared" si="18"/>
        <v>219.02699999999999</v>
      </c>
      <c r="T17">
        <f>+AVERAGE(B17:E17)</f>
        <v>204.50399999999999</v>
      </c>
      <c r="U17">
        <f>+AVERAGE(F17:I17)</f>
        <v>210.86899999999997</v>
      </c>
      <c r="V17">
        <f>+AVERAGE(J17:M17)</f>
        <v>215.92849999999999</v>
      </c>
      <c r="W17">
        <f>+V17</f>
        <v>215.92849999999999</v>
      </c>
      <c r="X17">
        <f t="shared" ref="X17:AK17" si="19">+W17</f>
        <v>215.92849999999999</v>
      </c>
      <c r="Y17">
        <f t="shared" si="19"/>
        <v>215.92849999999999</v>
      </c>
      <c r="Z17">
        <f t="shared" si="19"/>
        <v>215.92849999999999</v>
      </c>
      <c r="AA17">
        <f t="shared" si="19"/>
        <v>215.92849999999999</v>
      </c>
      <c r="AB17">
        <f t="shared" si="19"/>
        <v>215.92849999999999</v>
      </c>
      <c r="AC17">
        <f t="shared" si="19"/>
        <v>215.92849999999999</v>
      </c>
      <c r="AD17">
        <f t="shared" si="19"/>
        <v>215.92849999999999</v>
      </c>
      <c r="AE17">
        <f t="shared" si="19"/>
        <v>215.92849999999999</v>
      </c>
      <c r="AF17">
        <f t="shared" si="19"/>
        <v>215.92849999999999</v>
      </c>
      <c r="AG17">
        <f t="shared" si="19"/>
        <v>215.92849999999999</v>
      </c>
      <c r="AH17">
        <f t="shared" si="19"/>
        <v>215.92849999999999</v>
      </c>
      <c r="AI17">
        <f t="shared" si="19"/>
        <v>215.92849999999999</v>
      </c>
      <c r="AJ17">
        <f t="shared" si="19"/>
        <v>215.92849999999999</v>
      </c>
      <c r="AK17">
        <f t="shared" si="19"/>
        <v>215.92849999999999</v>
      </c>
    </row>
    <row r="19" spans="1:37" x14ac:dyDescent="0.2">
      <c r="A19" t="s">
        <v>55</v>
      </c>
      <c r="C19" s="3"/>
      <c r="D19" s="3"/>
      <c r="E19" s="3"/>
      <c r="F19" s="3"/>
      <c r="G19" s="3">
        <f t="shared" ref="E19:L19" si="20">+G3/C3-1</f>
        <v>0.83080756936678313</v>
      </c>
      <c r="H19" s="3">
        <f t="shared" si="20"/>
        <v>0.5652116877019524</v>
      </c>
      <c r="I19" s="3">
        <f t="shared" si="20"/>
        <v>0.47496755440990879</v>
      </c>
      <c r="J19" s="3">
        <f t="shared" si="20"/>
        <v>0.45814855585259728</v>
      </c>
      <c r="K19" s="3">
        <f t="shared" si="20"/>
        <v>0.51818076878679453</v>
      </c>
      <c r="L19" s="3">
        <f t="shared" si="20"/>
        <v>0.77131791494448576</v>
      </c>
      <c r="M19" s="3">
        <f>+M3/I3-1</f>
        <v>0.95094051958689318</v>
      </c>
      <c r="P19" t="s">
        <v>68</v>
      </c>
      <c r="Q19" s="3">
        <v>0.03</v>
      </c>
      <c r="U19" s="3">
        <f t="shared" ref="U19:V19" si="21">+U3/T3-1</f>
        <v>0.65491273751413903</v>
      </c>
      <c r="V19" s="3">
        <f>+V3/U3-1</f>
        <v>0.69324999999999992</v>
      </c>
    </row>
    <row r="20" spans="1:37" x14ac:dyDescent="0.2">
      <c r="A20" t="s">
        <v>56</v>
      </c>
      <c r="B20" s="3">
        <f t="shared" ref="B20" si="22">+B5/B3</f>
        <v>0.73786446098268754</v>
      </c>
      <c r="C20" s="3">
        <f t="shared" ref="C20:M20" si="23">+C5/C3</f>
        <v>0.76764439121897099</v>
      </c>
      <c r="D20" s="3">
        <f t="shared" si="23"/>
        <v>0.7902248059874617</v>
      </c>
      <c r="E20" s="3">
        <f t="shared" si="23"/>
        <v>0.79147503334270308</v>
      </c>
      <c r="F20" s="3">
        <f t="shared" si="23"/>
        <v>0.80424070870681974</v>
      </c>
      <c r="G20" s="3">
        <f t="shared" si="23"/>
        <v>0.81841355958290052</v>
      </c>
      <c r="H20" s="3">
        <f t="shared" si="23"/>
        <v>0.82624096268620506</v>
      </c>
      <c r="I20" s="3">
        <f t="shared" si="23"/>
        <v>0.82742205588377216</v>
      </c>
      <c r="J20" s="3">
        <f t="shared" si="23"/>
        <v>0.82357614560827697</v>
      </c>
      <c r="K20" s="3">
        <f t="shared" si="23"/>
        <v>0.8129720448094081</v>
      </c>
      <c r="L20" s="3">
        <f t="shared" si="23"/>
        <v>0.7916355377581209</v>
      </c>
      <c r="M20" s="3">
        <f>+M5/M3</f>
        <v>0.76805309900049668</v>
      </c>
      <c r="P20" t="s">
        <v>64</v>
      </c>
      <c r="Q20" s="7">
        <f>NPV(0.08,W15:AO15)-main!C5+main!C6</f>
        <v>8838.2995865969551</v>
      </c>
      <c r="T20" s="3">
        <f t="shared" ref="T20:V20" si="24">+T5/T3</f>
        <v>0.77568720630992416</v>
      </c>
      <c r="U20" s="3">
        <f t="shared" si="24"/>
        <v>0.81989564220183486</v>
      </c>
      <c r="V20" s="3">
        <f t="shared" si="24"/>
        <v>0.79452975047984653</v>
      </c>
    </row>
    <row r="21" spans="1:37" x14ac:dyDescent="0.2">
      <c r="A21" t="s">
        <v>57</v>
      </c>
      <c r="B21" s="3">
        <f t="shared" ref="B21" si="25">+B6/B3</f>
        <v>0.47469254002408362</v>
      </c>
      <c r="C21" s="3">
        <f t="shared" ref="C21:M21" si="26">+C6/C3</f>
        <v>0.53265588263783104</v>
      </c>
      <c r="D21" s="3">
        <f t="shared" si="26"/>
        <v>0.54172995664061419</v>
      </c>
      <c r="E21" s="3">
        <f t="shared" si="26"/>
        <v>0.51160565300861827</v>
      </c>
      <c r="F21" s="3">
        <f t="shared" si="26"/>
        <v>0.51069350526812385</v>
      </c>
      <c r="G21" s="3">
        <f t="shared" si="26"/>
        <v>0.51569413982838885</v>
      </c>
      <c r="H21" s="3">
        <f t="shared" si="26"/>
        <v>0.51202696085999488</v>
      </c>
      <c r="I21" s="3">
        <f t="shared" si="26"/>
        <v>0.51048378267692274</v>
      </c>
      <c r="J21" s="3">
        <f t="shared" si="26"/>
        <v>0.46932642151769954</v>
      </c>
      <c r="K21" s="3">
        <f t="shared" si="26"/>
        <v>0.4591253548256285</v>
      </c>
      <c r="L21" s="3">
        <f t="shared" si="26"/>
        <v>0.45394415722838161</v>
      </c>
      <c r="M21" s="3">
        <f>+M6/M3</f>
        <v>0.45950338675517888</v>
      </c>
      <c r="P21" t="s">
        <v>69</v>
      </c>
      <c r="Q21">
        <f>+Q20/main!C3</f>
        <v>40.028530736399254</v>
      </c>
      <c r="T21" s="3">
        <f t="shared" ref="T21:V21" si="27">+T6/T3</f>
        <v>0.5173253421797781</v>
      </c>
      <c r="U21" s="3">
        <f t="shared" si="27"/>
        <v>0.51217316513761457</v>
      </c>
      <c r="V21" s="3">
        <f t="shared" si="27"/>
        <v>0.45976130263580295</v>
      </c>
    </row>
    <row r="22" spans="1:37" x14ac:dyDescent="0.2">
      <c r="A22" t="s">
        <v>59</v>
      </c>
      <c r="B22" s="3" t="s">
        <v>22</v>
      </c>
      <c r="C22" s="3" t="s">
        <v>22</v>
      </c>
      <c r="D22" s="3">
        <f t="shared" ref="C22:M22" si="28">+D7/D3</f>
        <v>0.15017675163633351</v>
      </c>
      <c r="E22" s="3">
        <f t="shared" si="28"/>
        <v>0.1346925593440309</v>
      </c>
      <c r="F22" s="3">
        <f t="shared" si="28"/>
        <v>0.13724380143628451</v>
      </c>
      <c r="G22" s="3">
        <f t="shared" si="28"/>
        <v>0.14057389664858208</v>
      </c>
      <c r="H22" s="3">
        <f t="shared" si="28"/>
        <v>0.13704956792928066</v>
      </c>
      <c r="I22" s="3">
        <f t="shared" si="28"/>
        <v>0.133156812735434</v>
      </c>
      <c r="J22" s="3">
        <f t="shared" si="28"/>
        <v>0.13929201821900916</v>
      </c>
      <c r="K22" s="3">
        <f t="shared" si="28"/>
        <v>0.13132666768045417</v>
      </c>
      <c r="L22" s="3">
        <f t="shared" si="28"/>
        <v>0.11833716841486618</v>
      </c>
      <c r="M22" s="3">
        <f>+M7/M3</f>
        <v>0.12071979199358189</v>
      </c>
      <c r="T22" s="3">
        <f t="shared" ref="T22:V22" si="29">+T7/T3</f>
        <v>8.40209824715894E-2</v>
      </c>
      <c r="U22" s="3">
        <f t="shared" si="29"/>
        <v>0.13683142201834861</v>
      </c>
      <c r="V22" s="3">
        <f t="shared" si="29"/>
        <v>0.12583829208527653</v>
      </c>
    </row>
    <row r="23" spans="1:37" x14ac:dyDescent="0.2">
      <c r="A23" t="s">
        <v>60</v>
      </c>
      <c r="B23" s="3" t="s">
        <v>22</v>
      </c>
      <c r="C23" s="3" t="s">
        <v>22</v>
      </c>
      <c r="D23" s="3">
        <f t="shared" ref="C23:M23" si="30">+D8/D3</f>
        <v>5.507608605595294E-2</v>
      </c>
      <c r="E23" s="3">
        <f t="shared" si="30"/>
        <v>4.9706045944151719E-2</v>
      </c>
      <c r="F23" s="3">
        <f t="shared" si="30"/>
        <v>5.6340095402841114E-2</v>
      </c>
      <c r="G23" s="3">
        <f t="shared" si="30"/>
        <v>5.6774019777598217E-2</v>
      </c>
      <c r="H23" s="3">
        <f t="shared" si="30"/>
        <v>5.4124632221580149E-2</v>
      </c>
      <c r="I23" s="3">
        <f t="shared" si="30"/>
        <v>5.4355098350086568E-2</v>
      </c>
      <c r="J23" s="3">
        <f t="shared" si="30"/>
        <v>5.5088416837125363E-2</v>
      </c>
      <c r="K23" s="3">
        <f t="shared" si="30"/>
        <v>5.9097475669099751E-2</v>
      </c>
      <c r="L23" s="3">
        <f t="shared" si="30"/>
        <v>5.2525675123768538E-2</v>
      </c>
      <c r="M23" s="3">
        <f>+M8/M3</f>
        <v>4.9359956270433283E-2</v>
      </c>
      <c r="T23" s="3">
        <f t="shared" ref="T23:V23" si="31">+T8/T3</f>
        <v>3.091194801448428E-2</v>
      </c>
      <c r="U23" s="3">
        <f t="shared" si="31"/>
        <v>5.5306192660550459E-2</v>
      </c>
      <c r="V23" s="3">
        <f t="shared" si="31"/>
        <v>5.3381816901160437E-2</v>
      </c>
    </row>
    <row r="24" spans="1:37" x14ac:dyDescent="0.2">
      <c r="A24" t="s">
        <v>61</v>
      </c>
      <c r="B24" s="3">
        <f t="shared" ref="B24" si="32">+B9/B3</f>
        <v>0.43016759776536317</v>
      </c>
      <c r="C24" s="3">
        <f t="shared" ref="C24:M24" si="33">+C9/C3</f>
        <v>0.41277528772575572</v>
      </c>
      <c r="D24" s="3">
        <f t="shared" si="33"/>
        <v>0.18121185340661158</v>
      </c>
      <c r="E24" s="3">
        <f t="shared" si="33"/>
        <v>0.16487742444812595</v>
      </c>
      <c r="F24" s="3">
        <f t="shared" si="33"/>
        <v>0.15994653247365939</v>
      </c>
      <c r="G24" s="3">
        <f t="shared" si="33"/>
        <v>0.14979414367617067</v>
      </c>
      <c r="H24" s="3">
        <f t="shared" si="33"/>
        <v>0.15839064133498601</v>
      </c>
      <c r="I24" s="3">
        <f t="shared" si="33"/>
        <v>0.1310482971709398</v>
      </c>
      <c r="J24" s="3">
        <f t="shared" si="33"/>
        <v>0.12426888496644151</v>
      </c>
      <c r="K24" s="3">
        <f t="shared" si="33"/>
        <v>0.12847855839416059</v>
      </c>
      <c r="L24" s="3">
        <f t="shared" si="33"/>
        <v>0.11111028100688322</v>
      </c>
      <c r="M24" s="3">
        <f>+M9/M3</f>
        <v>9.9821465314597235E-2</v>
      </c>
      <c r="T24" s="3">
        <f t="shared" ref="T24:V24" si="34">+T9/T3</f>
        <v>0.27380455328743097</v>
      </c>
      <c r="U24" s="3">
        <f t="shared" si="34"/>
        <v>0.14894839449541281</v>
      </c>
      <c r="V24" s="3">
        <f t="shared" si="34"/>
        <v>0.11362371098411528</v>
      </c>
    </row>
    <row r="25" spans="1:37" x14ac:dyDescent="0.2">
      <c r="A25" t="s">
        <v>62</v>
      </c>
      <c r="B25" s="3">
        <f t="shared" ref="B25" si="35">+B11/B3</f>
        <v>-0.16699567680675931</v>
      </c>
      <c r="C25" s="3">
        <f t="shared" ref="C25:M25" si="36">+C11/C3</f>
        <v>-0.17778677914461574</v>
      </c>
      <c r="D25" s="3">
        <f t="shared" si="36"/>
        <v>-0.13796984175205051</v>
      </c>
      <c r="E25" s="3">
        <f t="shared" si="36"/>
        <v>-6.9406649402223755E-2</v>
      </c>
      <c r="F25" s="3">
        <f t="shared" si="36"/>
        <v>-5.9983225874089129E-2</v>
      </c>
      <c r="G25" s="3">
        <f t="shared" si="36"/>
        <v>-4.4422640347839423E-2</v>
      </c>
      <c r="H25" s="3">
        <f t="shared" si="36"/>
        <v>-3.7732852813642644E-2</v>
      </c>
      <c r="I25" s="3">
        <f t="shared" si="36"/>
        <v>-1.6219350496108462E-3</v>
      </c>
      <c r="J25" s="3">
        <f t="shared" si="36"/>
        <v>3.5600404068001308E-2</v>
      </c>
      <c r="K25" s="3">
        <f t="shared" si="36"/>
        <v>3.494398824006506E-2</v>
      </c>
      <c r="L25" s="3">
        <f t="shared" si="36"/>
        <v>5.5718255984221296E-2</v>
      </c>
      <c r="M25" s="3">
        <f>+M11/M3</f>
        <v>3.8648498666705361E-2</v>
      </c>
      <c r="T25" s="3">
        <f t="shared" ref="T25:V25" si="37">+T11/T3</f>
        <v>-0.13037561964335859</v>
      </c>
      <c r="U25" s="3">
        <f t="shared" si="37"/>
        <v>-3.3982798165137523E-2</v>
      </c>
      <c r="V25" s="3">
        <f t="shared" si="37"/>
        <v>4.1924627873491341E-2</v>
      </c>
    </row>
    <row r="26" spans="1:37" x14ac:dyDescent="0.2">
      <c r="A26" t="s">
        <v>63</v>
      </c>
      <c r="B26" s="3">
        <f t="shared" ref="B26" si="38">+B14/B13</f>
        <v>5.8175516771877666E-3</v>
      </c>
      <c r="C26" s="3">
        <f t="shared" ref="C26:M26" si="39">+C14/C13</f>
        <v>7.3727563939594244E-3</v>
      </c>
      <c r="D26" s="3">
        <f t="shared" si="39"/>
        <v>-8.4853627492575349E-4</v>
      </c>
      <c r="E26" s="3">
        <f t="shared" si="39"/>
        <v>-1.0972071091766395E-2</v>
      </c>
      <c r="F26" s="3">
        <f t="shared" si="39"/>
        <v>3.914410303214691E-2</v>
      </c>
      <c r="G26" s="3">
        <f t="shared" si="39"/>
        <v>-1.8579391167643301E-3</v>
      </c>
      <c r="H26" s="3">
        <f t="shared" si="39"/>
        <v>9.4129554655870806E-2</v>
      </c>
      <c r="I26" s="3">
        <f t="shared" si="39"/>
        <v>0.56693989071037665</v>
      </c>
      <c r="J26" s="3">
        <f t="shared" si="39"/>
        <v>-0.10279771023139569</v>
      </c>
      <c r="K26" s="3">
        <f t="shared" si="39"/>
        <v>-9.4606674612633685E-3</v>
      </c>
      <c r="L26" s="3">
        <f t="shared" si="39"/>
        <v>2.2038316449794459</v>
      </c>
      <c r="M26" s="3">
        <f>+M14/M13</f>
        <v>0.16751681224568571</v>
      </c>
      <c r="T26" s="3">
        <f t="shared" ref="T26:V26" si="40">+T14/T13</f>
        <v>1.5522987718577374E-3</v>
      </c>
      <c r="U26" s="3">
        <f t="shared" si="40"/>
        <v>-1.0241913059597778E-2</v>
      </c>
      <c r="V26" s="3">
        <f t="shared" si="40"/>
        <v>0.75758991386174446</v>
      </c>
    </row>
    <row r="28" spans="1:37" x14ac:dyDescent="0.2">
      <c r="A28" t="s">
        <v>70</v>
      </c>
      <c r="V28">
        <f>220.584+79.667+0.856</f>
        <v>301.10699999999997</v>
      </c>
    </row>
    <row r="29" spans="1:37" x14ac:dyDescent="0.2">
      <c r="A29" t="s">
        <v>71</v>
      </c>
      <c r="V29">
        <v>64.427000000000007</v>
      </c>
    </row>
    <row r="30" spans="1:37" x14ac:dyDescent="0.2">
      <c r="A30" t="s">
        <v>72</v>
      </c>
      <c r="V30">
        <v>31.152999999999999</v>
      </c>
    </row>
    <row r="31" spans="1:37" x14ac:dyDescent="0.2">
      <c r="A31" t="s">
        <v>73</v>
      </c>
      <c r="V31">
        <f>112.728+43.41</f>
        <v>156.13799999999998</v>
      </c>
    </row>
    <row r="32" spans="1:37" x14ac:dyDescent="0.2">
      <c r="A32" t="s">
        <v>74</v>
      </c>
      <c r="V32">
        <v>82.082999999999998</v>
      </c>
    </row>
    <row r="33" spans="1:23" x14ac:dyDescent="0.2">
      <c r="A33" t="s">
        <v>75</v>
      </c>
      <c r="V33">
        <v>10.881</v>
      </c>
    </row>
    <row r="34" spans="1:23" x14ac:dyDescent="0.2">
      <c r="A34" t="s">
        <v>76</v>
      </c>
      <c r="V34">
        <v>61.603000000000002</v>
      </c>
    </row>
    <row r="35" spans="1:23" x14ac:dyDescent="0.2">
      <c r="A35" t="s">
        <v>77</v>
      </c>
      <c r="V35">
        <v>0.14699999999999999</v>
      </c>
    </row>
    <row r="36" spans="1:23" x14ac:dyDescent="0.2">
      <c r="A36" t="s">
        <v>78</v>
      </c>
      <c r="V36">
        <f>SUM(V28:V35)</f>
        <v>707.53899999999999</v>
      </c>
    </row>
    <row r="38" spans="1:23" x14ac:dyDescent="0.2">
      <c r="A38" t="s">
        <v>79</v>
      </c>
      <c r="V38">
        <v>91.18</v>
      </c>
    </row>
    <row r="39" spans="1:23" x14ac:dyDescent="0.2">
      <c r="A39" t="s">
        <v>80</v>
      </c>
      <c r="V39">
        <v>53.012999999999998</v>
      </c>
    </row>
    <row r="40" spans="1:23" x14ac:dyDescent="0.2">
      <c r="A40" t="s">
        <v>81</v>
      </c>
      <c r="V40">
        <v>75.284999999999997</v>
      </c>
    </row>
    <row r="41" spans="1:23" x14ac:dyDescent="0.2">
      <c r="A41" t="s">
        <v>82</v>
      </c>
      <c r="V41">
        <v>0</v>
      </c>
    </row>
    <row r="42" spans="1:23" x14ac:dyDescent="0.2">
      <c r="A42" t="s">
        <v>75</v>
      </c>
      <c r="V42">
        <f>1.889+9.456</f>
        <v>11.344999999999999</v>
      </c>
    </row>
    <row r="43" spans="1:23" x14ac:dyDescent="0.2">
      <c r="A43" t="s">
        <v>83</v>
      </c>
      <c r="V43">
        <f>SUM(V38:V42)</f>
        <v>230.82300000000001</v>
      </c>
    </row>
    <row r="44" spans="1:23" x14ac:dyDescent="0.2">
      <c r="A44" t="s">
        <v>84</v>
      </c>
      <c r="V44">
        <f>+V36-V43</f>
        <v>476.71600000000001</v>
      </c>
      <c r="W44" t="s">
        <v>22</v>
      </c>
    </row>
    <row r="45" spans="1:23" x14ac:dyDescent="0.2">
      <c r="A45" t="s">
        <v>85</v>
      </c>
      <c r="V45">
        <f>+V43+V44</f>
        <v>707.53899999999999</v>
      </c>
    </row>
    <row r="47" spans="1:23" x14ac:dyDescent="0.2">
      <c r="A47" t="s">
        <v>86</v>
      </c>
      <c r="V47">
        <f>+V15</f>
        <v>126.03730000000019</v>
      </c>
    </row>
    <row r="48" spans="1:23" x14ac:dyDescent="0.2">
      <c r="A48" t="s">
        <v>87</v>
      </c>
      <c r="V48">
        <v>126.038</v>
      </c>
    </row>
    <row r="49" spans="1:22" x14ac:dyDescent="0.2">
      <c r="A49" t="s">
        <v>88</v>
      </c>
      <c r="V49">
        <v>17.068000000000001</v>
      </c>
    </row>
    <row r="50" spans="1:22" x14ac:dyDescent="0.2">
      <c r="A50" t="s">
        <v>89</v>
      </c>
      <c r="V50">
        <v>92.322000000000003</v>
      </c>
    </row>
    <row r="51" spans="1:22" x14ac:dyDescent="0.2">
      <c r="A51" t="s">
        <v>90</v>
      </c>
      <c r="V51">
        <v>-4.3550000000000004</v>
      </c>
    </row>
    <row r="52" spans="1:22" x14ac:dyDescent="0.2">
      <c r="A52" t="s">
        <v>93</v>
      </c>
      <c r="V52">
        <v>-61.649000000000001</v>
      </c>
    </row>
    <row r="53" spans="1:22" x14ac:dyDescent="0.2">
      <c r="A53" t="s">
        <v>91</v>
      </c>
      <c r="V53">
        <v>0.114</v>
      </c>
    </row>
    <row r="54" spans="1:22" x14ac:dyDescent="0.2">
      <c r="A54" t="s">
        <v>75</v>
      </c>
      <c r="V54">
        <v>2.5459999999999998</v>
      </c>
    </row>
    <row r="55" spans="1:22" x14ac:dyDescent="0.2">
      <c r="A55" t="s">
        <v>92</v>
      </c>
      <c r="V55">
        <v>0</v>
      </c>
    </row>
    <row r="56" spans="1:22" x14ac:dyDescent="0.2">
      <c r="A56" t="s">
        <v>22</v>
      </c>
    </row>
    <row r="57" spans="1:22" x14ac:dyDescent="0.2">
      <c r="A57" t="s">
        <v>22</v>
      </c>
    </row>
    <row r="58" spans="1:22" x14ac:dyDescent="0.2">
      <c r="A58" t="s">
        <v>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2025-03-05T14:12:05Z</dcterms:created>
  <dcterms:modified xsi:type="dcterms:W3CDTF">2025-04-10T13:08:18Z</dcterms:modified>
</cp:coreProperties>
</file>