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Financials/Ações/"/>
    </mc:Choice>
  </mc:AlternateContent>
  <xr:revisionPtr revIDLastSave="610" documentId="8_{4295BB4D-22D2-45AF-9BD4-C74201198BFF}" xr6:coauthVersionLast="47" xr6:coauthVersionMax="47" xr10:uidLastSave="{657C129A-B0CF-4849-87BE-A45C688E07BC}"/>
  <bookViews>
    <workbookView xWindow="-108" yWindow="-108" windowWidth="23256" windowHeight="12456" activeTab="1" xr2:uid="{9420ED18-3E38-4D48-9D30-DC5BCE1F257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2" l="1"/>
  <c r="T31" i="2"/>
  <c r="T68" i="2"/>
  <c r="T67" i="2"/>
  <c r="T64" i="2"/>
  <c r="T65" i="2" s="1"/>
  <c r="T53" i="2"/>
  <c r="T62" i="2"/>
  <c r="T57" i="2"/>
  <c r="K50" i="2"/>
  <c r="T50" i="2"/>
  <c r="T48" i="2"/>
  <c r="T43" i="2"/>
  <c r="T33" i="2"/>
  <c r="K62" i="2"/>
  <c r="K53" i="2"/>
  <c r="K57" i="2"/>
  <c r="L6" i="1"/>
  <c r="K43" i="2"/>
  <c r="K33" i="2"/>
  <c r="L5" i="1"/>
  <c r="I24" i="2"/>
  <c r="F14" i="2"/>
  <c r="T19" i="2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T16" i="2"/>
  <c r="T11" i="2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T7" i="2"/>
  <c r="U7" i="2" s="1"/>
  <c r="T8" i="2"/>
  <c r="T9" i="2"/>
  <c r="T10" i="2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T5" i="2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T3" i="2"/>
  <c r="T2" i="2"/>
  <c r="S19" i="2"/>
  <c r="S16" i="2"/>
  <c r="S11" i="2"/>
  <c r="S12" i="2" s="1"/>
  <c r="S10" i="2"/>
  <c r="S9" i="2"/>
  <c r="S8" i="2"/>
  <c r="S7" i="2"/>
  <c r="S5" i="2"/>
  <c r="S3" i="2"/>
  <c r="S4" i="2" s="1"/>
  <c r="S2" i="2"/>
  <c r="T1" i="2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B14" i="2"/>
  <c r="B12" i="2"/>
  <c r="B4" i="2"/>
  <c r="B6" i="2" s="1"/>
  <c r="B23" i="2" s="1"/>
  <c r="C14" i="2"/>
  <c r="C12" i="2"/>
  <c r="C4" i="2"/>
  <c r="C6" i="2" s="1"/>
  <c r="C23" i="2" s="1"/>
  <c r="D12" i="2"/>
  <c r="K12" i="2"/>
  <c r="J12" i="2"/>
  <c r="I12" i="2"/>
  <c r="H12" i="2"/>
  <c r="G12" i="2"/>
  <c r="F12" i="2"/>
  <c r="E12" i="2"/>
  <c r="D14" i="2"/>
  <c r="D4" i="2"/>
  <c r="D6" i="2" s="1"/>
  <c r="D23" i="2" s="1"/>
  <c r="E14" i="2"/>
  <c r="E4" i="2"/>
  <c r="E6" i="2" s="1"/>
  <c r="E23" i="2" s="1"/>
  <c r="F4" i="2"/>
  <c r="F6" i="2" s="1"/>
  <c r="F23" i="2" s="1"/>
  <c r="G14" i="2"/>
  <c r="G4" i="2"/>
  <c r="G6" i="2" s="1"/>
  <c r="G23" i="2" s="1"/>
  <c r="H14" i="2"/>
  <c r="H4" i="2"/>
  <c r="H6" i="2" s="1"/>
  <c r="H23" i="2" s="1"/>
  <c r="I14" i="2"/>
  <c r="I4" i="2"/>
  <c r="I6" i="2" s="1"/>
  <c r="I23" i="2" s="1"/>
  <c r="J14" i="2"/>
  <c r="J4" i="2"/>
  <c r="J6" i="2" s="1"/>
  <c r="J23" i="2" s="1"/>
  <c r="K19" i="2"/>
  <c r="K14" i="2"/>
  <c r="K4" i="2"/>
  <c r="K6" i="2" s="1"/>
  <c r="K23" i="2" s="1"/>
  <c r="L4" i="1"/>
  <c r="E12" i="1"/>
  <c r="D12" i="1"/>
  <c r="C12" i="1"/>
  <c r="E10" i="1"/>
  <c r="E11" i="1"/>
  <c r="D11" i="1"/>
  <c r="C11" i="1"/>
  <c r="D10" i="1"/>
  <c r="C10" i="1"/>
  <c r="K48" i="2" l="1"/>
  <c r="K64" i="2" s="1"/>
  <c r="K65" i="2" s="1"/>
  <c r="T4" i="2"/>
  <c r="K31" i="2"/>
  <c r="I13" i="2"/>
  <c r="I28" i="2" s="1"/>
  <c r="T26" i="2"/>
  <c r="T25" i="2"/>
  <c r="U8" i="2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S14" i="2"/>
  <c r="H25" i="2"/>
  <c r="H13" i="2"/>
  <c r="H28" i="2" s="1"/>
  <c r="I25" i="2"/>
  <c r="S25" i="2"/>
  <c r="T14" i="2"/>
  <c r="G26" i="2"/>
  <c r="S26" i="2"/>
  <c r="K25" i="2"/>
  <c r="H26" i="2"/>
  <c r="S27" i="2"/>
  <c r="K26" i="2"/>
  <c r="G27" i="2"/>
  <c r="V7" i="2"/>
  <c r="S6" i="2"/>
  <c r="S23" i="2" s="1"/>
  <c r="S24" i="2"/>
  <c r="T6" i="2"/>
  <c r="U4" i="2"/>
  <c r="U6" i="2" s="1"/>
  <c r="T27" i="2"/>
  <c r="D13" i="2"/>
  <c r="D28" i="2" s="1"/>
  <c r="G13" i="2"/>
  <c r="G28" i="2" s="1"/>
  <c r="K24" i="2"/>
  <c r="J21" i="2"/>
  <c r="H24" i="2"/>
  <c r="G25" i="2"/>
  <c r="F26" i="2"/>
  <c r="E27" i="2"/>
  <c r="J13" i="2"/>
  <c r="J28" i="2" s="1"/>
  <c r="K27" i="2"/>
  <c r="C24" i="2"/>
  <c r="B25" i="2"/>
  <c r="J25" i="2"/>
  <c r="I26" i="2"/>
  <c r="H27" i="2"/>
  <c r="T24" i="2"/>
  <c r="U9" i="2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F27" i="2"/>
  <c r="K21" i="2"/>
  <c r="F21" i="2"/>
  <c r="D24" i="2"/>
  <c r="C25" i="2"/>
  <c r="B26" i="2"/>
  <c r="J26" i="2"/>
  <c r="I27" i="2"/>
  <c r="K13" i="2"/>
  <c r="K28" i="2" s="1"/>
  <c r="G21" i="2"/>
  <c r="E24" i="2"/>
  <c r="D25" i="2"/>
  <c r="C26" i="2"/>
  <c r="B27" i="2"/>
  <c r="J27" i="2"/>
  <c r="B24" i="2"/>
  <c r="H21" i="2"/>
  <c r="F24" i="2"/>
  <c r="E25" i="2"/>
  <c r="D26" i="2"/>
  <c r="C27" i="2"/>
  <c r="J24" i="2"/>
  <c r="E13" i="2"/>
  <c r="E28" i="2" s="1"/>
  <c r="F13" i="2"/>
  <c r="F28" i="2" s="1"/>
  <c r="I21" i="2"/>
  <c r="G24" i="2"/>
  <c r="F25" i="2"/>
  <c r="E26" i="2"/>
  <c r="D27" i="2"/>
  <c r="L7" i="1"/>
  <c r="T12" i="2"/>
  <c r="B13" i="2"/>
  <c r="C13" i="2"/>
  <c r="K15" i="2"/>
  <c r="D15" i="2"/>
  <c r="I15" i="2"/>
  <c r="H15" i="2" l="1"/>
  <c r="J15" i="2"/>
  <c r="J29" i="2" s="1"/>
  <c r="E15" i="2"/>
  <c r="D17" i="2"/>
  <c r="D18" i="2" s="1"/>
  <c r="D29" i="2"/>
  <c r="K17" i="2"/>
  <c r="K29" i="2"/>
  <c r="B15" i="2"/>
  <c r="B28" i="2"/>
  <c r="C15" i="2"/>
  <c r="C28" i="2"/>
  <c r="I17" i="2"/>
  <c r="I18" i="2" s="1"/>
  <c r="I29" i="2"/>
  <c r="H17" i="2"/>
  <c r="H18" i="2" s="1"/>
  <c r="H29" i="2"/>
  <c r="V4" i="2"/>
  <c r="W4" i="2" s="1"/>
  <c r="W7" i="2"/>
  <c r="V12" i="2"/>
  <c r="E17" i="2"/>
  <c r="E18" i="2" s="1"/>
  <c r="E29" i="2"/>
  <c r="U13" i="2"/>
  <c r="U15" i="2" s="1"/>
  <c r="T23" i="2"/>
  <c r="T21" i="2"/>
  <c r="T13" i="2"/>
  <c r="T15" i="2" s="1"/>
  <c r="G15" i="2"/>
  <c r="F15" i="2"/>
  <c r="S13" i="2"/>
  <c r="U12" i="2"/>
  <c r="J17" i="2"/>
  <c r="J18" i="2" s="1"/>
  <c r="K18" i="2" l="1"/>
  <c r="K68" i="2"/>
  <c r="K67" i="2"/>
  <c r="V6" i="2"/>
  <c r="V13" i="2" s="1"/>
  <c r="F17" i="2"/>
  <c r="F18" i="2" s="1"/>
  <c r="F29" i="2"/>
  <c r="X7" i="2"/>
  <c r="W12" i="2"/>
  <c r="S15" i="2"/>
  <c r="S28" i="2"/>
  <c r="C17" i="2"/>
  <c r="C18" i="2" s="1"/>
  <c r="C29" i="2"/>
  <c r="B17" i="2"/>
  <c r="B18" i="2" s="1"/>
  <c r="B29" i="2"/>
  <c r="G17" i="2"/>
  <c r="G18" i="2" s="1"/>
  <c r="G29" i="2"/>
  <c r="U16" i="2"/>
  <c r="U17" i="2" s="1"/>
  <c r="U31" i="2" s="1"/>
  <c r="T28" i="2"/>
  <c r="T17" i="2"/>
  <c r="T18" i="2" s="1"/>
  <c r="T29" i="2"/>
  <c r="X4" i="2"/>
  <c r="W6" i="2"/>
  <c r="W13" i="2" s="1"/>
  <c r="V14" i="2" l="1"/>
  <c r="V15" i="2" s="1"/>
  <c r="V16" i="2" s="1"/>
  <c r="V17" i="2" s="1"/>
  <c r="V31" i="2" s="1"/>
  <c r="S17" i="2"/>
  <c r="S18" i="2" s="1"/>
  <c r="S29" i="2"/>
  <c r="U18" i="2"/>
  <c r="Y7" i="2"/>
  <c r="X12" i="2"/>
  <c r="Y4" i="2"/>
  <c r="X6" i="2"/>
  <c r="W14" i="2" l="1"/>
  <c r="W15" i="2" s="1"/>
  <c r="W16" i="2" s="1"/>
  <c r="W17" i="2" s="1"/>
  <c r="W18" i="2" s="1"/>
  <c r="X13" i="2"/>
  <c r="V18" i="2"/>
  <c r="Z7" i="2"/>
  <c r="Y12" i="2"/>
  <c r="Z4" i="2"/>
  <c r="Y6" i="2"/>
  <c r="Y13" i="2" s="1"/>
  <c r="W31" i="2" l="1"/>
  <c r="AA7" i="2"/>
  <c r="Z12" i="2"/>
  <c r="AA4" i="2"/>
  <c r="Z6" i="2"/>
  <c r="Z13" i="2" s="1"/>
  <c r="X14" i="2" l="1"/>
  <c r="X15" i="2" s="1"/>
  <c r="X16" i="2" s="1"/>
  <c r="X17" i="2" s="1"/>
  <c r="X18" i="2" s="1"/>
  <c r="AB7" i="2"/>
  <c r="AA12" i="2"/>
  <c r="AB4" i="2"/>
  <c r="AA6" i="2"/>
  <c r="AA13" i="2" s="1"/>
  <c r="X31" i="2" l="1"/>
  <c r="AC7" i="2"/>
  <c r="AB12" i="2"/>
  <c r="AC4" i="2"/>
  <c r="AB6" i="2"/>
  <c r="AB13" i="2" s="1"/>
  <c r="Y14" i="2" l="1"/>
  <c r="Y15" i="2" s="1"/>
  <c r="Y16" i="2" s="1"/>
  <c r="Y17" i="2" s="1"/>
  <c r="Y18" i="2" s="1"/>
  <c r="AD7" i="2"/>
  <c r="AC12" i="2"/>
  <c r="AD4" i="2"/>
  <c r="AC6" i="2"/>
  <c r="AC13" i="2" s="1"/>
  <c r="Y31" i="2" l="1"/>
  <c r="AE7" i="2"/>
  <c r="AD12" i="2"/>
  <c r="AE4" i="2"/>
  <c r="AD6" i="2"/>
  <c r="AD13" i="2" s="1"/>
  <c r="Z14" i="2" l="1"/>
  <c r="Z15" i="2" s="1"/>
  <c r="AF7" i="2"/>
  <c r="AE12" i="2"/>
  <c r="AF4" i="2"/>
  <c r="AE6" i="2"/>
  <c r="AE13" i="2" s="1"/>
  <c r="Z16" i="2" l="1"/>
  <c r="Z17" i="2" s="1"/>
  <c r="AG7" i="2"/>
  <c r="AF12" i="2"/>
  <c r="AG4" i="2"/>
  <c r="AF6" i="2"/>
  <c r="AF13" i="2" s="1"/>
  <c r="Z18" i="2" l="1"/>
  <c r="Z31" i="2"/>
  <c r="AH7" i="2"/>
  <c r="AG12" i="2"/>
  <c r="AH4" i="2"/>
  <c r="AG6" i="2"/>
  <c r="AG13" i="2" s="1"/>
  <c r="AA14" i="2" l="1"/>
  <c r="AA15" i="2" s="1"/>
  <c r="AA16" i="2" s="1"/>
  <c r="AA17" i="2" s="1"/>
  <c r="AA18" i="2" s="1"/>
  <c r="AI7" i="2"/>
  <c r="AH12" i="2"/>
  <c r="AI4" i="2"/>
  <c r="AH6" i="2"/>
  <c r="AH13" i="2" s="1"/>
  <c r="AA31" i="2" l="1"/>
  <c r="AJ7" i="2"/>
  <c r="AI12" i="2"/>
  <c r="AJ4" i="2"/>
  <c r="AI6" i="2"/>
  <c r="AI13" i="2" s="1"/>
  <c r="AB14" i="2" l="1"/>
  <c r="AB15" i="2" s="1"/>
  <c r="AK7" i="2"/>
  <c r="AK12" i="2" s="1"/>
  <c r="AJ12" i="2"/>
  <c r="AK4" i="2"/>
  <c r="AK6" i="2" s="1"/>
  <c r="AK13" i="2" s="1"/>
  <c r="AJ6" i="2"/>
  <c r="AJ13" i="2" s="1"/>
  <c r="AB16" i="2" l="1"/>
  <c r="AB17" i="2" s="1"/>
  <c r="AB18" i="2" l="1"/>
  <c r="AB31" i="2"/>
  <c r="AC14" i="2" l="1"/>
  <c r="AC15" i="2" s="1"/>
  <c r="AC16" i="2" l="1"/>
  <c r="AC17" i="2" s="1"/>
  <c r="AC18" i="2" l="1"/>
  <c r="AC31" i="2"/>
  <c r="AD14" i="2" l="1"/>
  <c r="AD15" i="2" s="1"/>
  <c r="AD16" i="2" s="1"/>
  <c r="AD17" i="2" s="1"/>
  <c r="AD18" i="2" s="1"/>
  <c r="AD31" i="2" l="1"/>
  <c r="AE14" i="2" l="1"/>
  <c r="AE15" i="2" s="1"/>
  <c r="AE16" i="2" s="1"/>
  <c r="AE17" i="2" s="1"/>
  <c r="AE18" i="2" s="1"/>
  <c r="AE31" i="2" l="1"/>
  <c r="AF14" i="2" l="1"/>
  <c r="AF15" i="2" s="1"/>
  <c r="AF16" i="2" s="1"/>
  <c r="AF17" i="2" s="1"/>
  <c r="AF18" i="2" s="1"/>
  <c r="AF31" i="2" l="1"/>
  <c r="AG14" i="2" l="1"/>
  <c r="AG15" i="2" s="1"/>
  <c r="AG16" i="2" s="1"/>
  <c r="AG17" i="2" s="1"/>
  <c r="AG18" i="2" s="1"/>
  <c r="AG31" i="2" l="1"/>
  <c r="AH14" i="2" l="1"/>
  <c r="AH15" i="2" s="1"/>
  <c r="AH16" i="2" l="1"/>
  <c r="AH17" i="2" s="1"/>
  <c r="AH18" i="2" l="1"/>
  <c r="AH31" i="2"/>
  <c r="AI14" i="2" l="1"/>
  <c r="AI15" i="2" s="1"/>
  <c r="AI16" i="2" s="1"/>
  <c r="AI17" i="2" s="1"/>
  <c r="AI18" i="2" s="1"/>
  <c r="AI31" i="2" l="1"/>
  <c r="AJ14" i="2" l="1"/>
  <c r="AJ15" i="2" s="1"/>
  <c r="AJ16" i="2" s="1"/>
  <c r="AJ17" i="2" s="1"/>
  <c r="AJ18" i="2" s="1"/>
  <c r="AJ31" i="2" l="1"/>
  <c r="AK14" i="2" l="1"/>
  <c r="AK15" i="2" s="1"/>
  <c r="AK16" i="2" s="1"/>
  <c r="AK17" i="2" s="1"/>
  <c r="AL17" i="2" l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N25" i="2" s="1"/>
  <c r="N26" i="2" s="1"/>
  <c r="N27" i="2" s="1"/>
  <c r="N28" i="2" s="1"/>
  <c r="AK18" i="2"/>
  <c r="AK31" i="2"/>
</calcChain>
</file>

<file path=xl/sharedStrings.xml><?xml version="1.0" encoding="utf-8"?>
<sst xmlns="http://schemas.openxmlformats.org/spreadsheetml/2006/main" count="100" uniqueCount="87">
  <si>
    <t>JD.com</t>
  </si>
  <si>
    <t>Price</t>
  </si>
  <si>
    <t>Shares</t>
  </si>
  <si>
    <t>MC</t>
  </si>
  <si>
    <t>Cash</t>
  </si>
  <si>
    <t>Debt</t>
  </si>
  <si>
    <t>EV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</si>
  <si>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</si>
  <si>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</si>
  <si>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</si>
  <si>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</si>
  <si>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</si>
  <si>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</si>
  <si>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</si>
  <si>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</si>
  <si>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</si>
  <si>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</si>
  <si>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 xml:space="preserve"> </t>
  </si>
  <si>
    <t>HKEX</t>
  </si>
  <si>
    <t xml:space="preserve">CEO </t>
  </si>
  <si>
    <t>Sandy Xu</t>
  </si>
  <si>
    <t>JD Retail (RMB)</t>
  </si>
  <si>
    <t>JD Logistics (RMB)</t>
  </si>
  <si>
    <t>NI</t>
  </si>
  <si>
    <t>NI %</t>
  </si>
  <si>
    <t>New Business</t>
  </si>
  <si>
    <t>Products</t>
  </si>
  <si>
    <t>Services</t>
  </si>
  <si>
    <t>Revenue</t>
  </si>
  <si>
    <t>COGS</t>
  </si>
  <si>
    <t>Gross Profit</t>
  </si>
  <si>
    <t>Fulfillment</t>
  </si>
  <si>
    <t>Marketing</t>
  </si>
  <si>
    <t>RD</t>
  </si>
  <si>
    <t>GA</t>
  </si>
  <si>
    <t>OPEX</t>
  </si>
  <si>
    <t>Operating Income</t>
  </si>
  <si>
    <t>Interest income</t>
  </si>
  <si>
    <t>Pretaxe</t>
  </si>
  <si>
    <t>Taxes</t>
  </si>
  <si>
    <t>Net Income</t>
  </si>
  <si>
    <t>EPS</t>
  </si>
  <si>
    <t>Gains on sales</t>
  </si>
  <si>
    <t>ROIC</t>
  </si>
  <si>
    <t xml:space="preserve">Terminal </t>
  </si>
  <si>
    <t>MR</t>
  </si>
  <si>
    <t>DR</t>
  </si>
  <si>
    <t>NPV</t>
  </si>
  <si>
    <t>TV</t>
  </si>
  <si>
    <t>Per Share</t>
  </si>
  <si>
    <t>Ratio</t>
  </si>
  <si>
    <t>Revenue y/y</t>
  </si>
  <si>
    <t>Gross %</t>
  </si>
  <si>
    <t>Fulfillment %</t>
  </si>
  <si>
    <t>Marketing %</t>
  </si>
  <si>
    <t>RD %</t>
  </si>
  <si>
    <t>GA %</t>
  </si>
  <si>
    <t>Operating %</t>
  </si>
  <si>
    <t>Taxe rate</t>
  </si>
  <si>
    <t>NC</t>
  </si>
  <si>
    <t xml:space="preserve">Cash </t>
  </si>
  <si>
    <t>Restricted</t>
  </si>
  <si>
    <t>Prepaid</t>
  </si>
  <si>
    <t>Inventory</t>
  </si>
  <si>
    <t>Advance supply</t>
  </si>
  <si>
    <t>Due</t>
  </si>
  <si>
    <t>Sale</t>
  </si>
  <si>
    <t>PPE</t>
  </si>
  <si>
    <t>Construction</t>
  </si>
  <si>
    <t>Intangibles</t>
  </si>
  <si>
    <t>Rights</t>
  </si>
  <si>
    <t>OLA</t>
  </si>
  <si>
    <t>DT</t>
  </si>
  <si>
    <t>Other</t>
  </si>
  <si>
    <t>Assets</t>
  </si>
  <si>
    <t>Advanced</t>
  </si>
  <si>
    <t>AP</t>
  </si>
  <si>
    <t>AR</t>
  </si>
  <si>
    <t>TP</t>
  </si>
  <si>
    <t>AE</t>
  </si>
  <si>
    <t>OLL</t>
  </si>
  <si>
    <t>Senior notes</t>
  </si>
  <si>
    <t>Liabilities</t>
  </si>
  <si>
    <t>S/E</t>
  </si>
  <si>
    <t>L+S/E</t>
  </si>
  <si>
    <t>ROA</t>
  </si>
  <si>
    <t>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</si>
</sst>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0000000"/>
  </numFmts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3" fontId="0" fillId="0" borderId="0" xfId="0" applyNumberFormat="1"/>
    <xf numFmtId="0" fontId="1" fillId="0" borderId="0" xfId="0" applyNumberFormat="1" applyFont="1"/>
    <xf numFmtId="0" fontId="0" fillId="0" borderId="0" xfId="0" applyFont="1"/>
    <xf numFmtId="8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0</xdr:row>
      <xdr:rowOff>38100</xdr:rowOff>
    </xdr:from>
    <xdr:to>
      <xdr:col>11</xdr:col>
      <xdr:colOff>15240</xdr:colOff>
      <xdr:row>27</xdr:row>
      <xdr:rowOff>137160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0204BCD4-763A-12CC-93F9-AA35127C7C59}"/>
            </a:ext>
          </a:extLst>
        </xdr:cNvPr>
        <xdr:cNvCxnSpPr/>
      </xdr:nvCxnSpPr>
      <xdr:spPr>
        <a:xfrm>
          <a:off x="7955280" y="38100"/>
          <a:ext cx="0" cy="483108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</xdr:colOff>
      <xdr:row>0</xdr:row>
      <xdr:rowOff>22860</xdr:rowOff>
    </xdr:from>
    <xdr:to>
      <xdr:col>18</xdr:col>
      <xdr:colOff>15240</xdr:colOff>
      <xdr:row>27</xdr:row>
      <xdr:rowOff>121920</xdr:rowOff>
    </xdr:to>
    <xdr:cxnSp macro="">
      <xdr:nvCxnSpPr>
        <xdr:cNvPr id="4" name="Conexão reta 3">
          <a:extLst>
            <a:ext uri="{FF2B5EF4-FFF2-40B4-BE49-F238E27FC236}">
              <a16:creationId xmlns:a16="http://schemas.microsoft.com/office/drawing/2014/main" id="{6821AB1D-D069-4E45-BC94-64DA33EAAB57}"/>
            </a:ext>
          </a:extLst>
        </xdr:cNvPr>
        <xdr:cNvCxnSpPr/>
      </xdr:nvCxnSpPr>
      <xdr:spPr>
        <a:xfrm>
          <a:off x="12565380" y="22860"/>
          <a:ext cx="0" cy="483108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0DED-A9A8-4FDC-AF70-5EA80A3FC6CE}">
  <dimension ref="A2:L13"/>
  <sheetViews>
    <sheetView topLeftCell="E1" workbookViewId="0">
      <selection activeCell="L7" sqref="L7"/>
    </sheetView>
  </sheetViews>
  <sheetFormatPr defaultRowHeight="13.8" x14ac:dyDescent="0.25"/>
  <cols>
    <col min="2" max="2" width="16.3984375" bestFit="1" customWidth="1"/>
  </cols>
  <sheetData>
    <row r="2" spans="1:12" x14ac:dyDescent="0.25">
      <c r="B2" s="2" t="s">
        <v>0</v>
      </c>
      <c r="K2" t="s">
        <v>1</v>
      </c>
      <c r="L2" s="4">
        <v>47</v>
      </c>
    </row>
    <row r="3" spans="1:12" x14ac:dyDescent="0.25">
      <c r="A3" t="s">
        <v>18</v>
      </c>
      <c r="B3">
        <v>9618</v>
      </c>
      <c r="K3" t="s">
        <v>2</v>
      </c>
      <c r="L3" s="4">
        <v>2860</v>
      </c>
    </row>
    <row r="4" spans="1:12" x14ac:dyDescent="0.25">
      <c r="K4" t="s">
        <v>3</v>
      </c>
      <c r="L4" s="4">
        <f>+L2*L3</f>
        <v>134420</v>
      </c>
    </row>
    <row r="5" spans="1:12" x14ac:dyDescent="0.25">
      <c r="K5" t="s">
        <v>4</v>
      </c>
      <c r="L5" s="4">
        <f>11627+16156+7572+11964</f>
        <v>47319</v>
      </c>
    </row>
    <row r="6" spans="1:12" x14ac:dyDescent="0.25">
      <c r="B6" t="s">
        <v>19</v>
      </c>
      <c r="C6" t="s">
        <v>20</v>
      </c>
      <c r="K6" t="s">
        <v>5</v>
      </c>
      <c r="L6" s="4">
        <f>771+4440+68</f>
        <v>5279</v>
      </c>
    </row>
    <row r="7" spans="1:12" x14ac:dyDescent="0.25">
      <c r="K7" t="s">
        <v>6</v>
      </c>
      <c r="L7" s="4">
        <f>+L4-L5+L6</f>
        <v>92380</v>
      </c>
    </row>
    <row r="9" spans="1:12" x14ac:dyDescent="0.25">
      <c r="B9" s="1" t="s">
        <v>23</v>
      </c>
      <c r="C9" t="s">
        <v>12</v>
      </c>
      <c r="D9" t="s">
        <v>16</v>
      </c>
      <c r="E9" t="s">
        <v>24</v>
      </c>
    </row>
    <row r="10" spans="1:12" x14ac:dyDescent="0.25">
      <c r="B10" t="s">
        <v>21</v>
      </c>
      <c r="C10">
        <f>253.3-8.1</f>
        <v>245.20000000000002</v>
      </c>
      <c r="D10">
        <f>257.1-10.1</f>
        <v>247.00000000000003</v>
      </c>
      <c r="E10" s="3">
        <f>+D10/C10-1</f>
        <v>7.3409461663949127E-3</v>
      </c>
    </row>
    <row r="11" spans="1:12" x14ac:dyDescent="0.25">
      <c r="B11" t="s">
        <v>22</v>
      </c>
      <c r="C11">
        <f>41-0.5</f>
        <v>40.5</v>
      </c>
      <c r="D11">
        <f>44.2-2.2</f>
        <v>42</v>
      </c>
      <c r="E11" s="3">
        <f>+D11/C11-1</f>
        <v>3.7037037037036979E-2</v>
      </c>
    </row>
    <row r="12" spans="1:12" x14ac:dyDescent="0.25">
      <c r="B12" t="s">
        <v>25</v>
      </c>
      <c r="C12">
        <f>7.1-1</f>
        <v>6.1</v>
      </c>
      <c r="D12">
        <f>4.6+0.7</f>
        <v>5.3</v>
      </c>
      <c r="E12" s="3">
        <f>+D12/C12-1</f>
        <v>-0.13114754098360648</v>
      </c>
    </row>
    <row r="13" spans="1:12" x14ac:dyDescent="0.25">
      <c r="F1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7AA3-84A6-42B6-98D3-4AFC1E4A5B3D}">
  <dimension ref="A1:XFD68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O3" sqref="O3"/>
    </sheetView>
  </sheetViews>
  <sheetFormatPr defaultRowHeight="13.8" x14ac:dyDescent="0.25"/>
  <cols>
    <col min="1" max="1" width="15.09765625" bestFit="1" customWidth="1"/>
    <col min="11" max="11" width="9.8984375" bestFit="1" customWidth="1"/>
    <col min="14" max="14" width="17.09765625" bestFit="1" customWidth="1"/>
    <col min="20" max="20" width="9.8984375" bestFit="1" customWidth="1"/>
  </cols>
  <sheetData>
    <row r="1" spans="1:37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S1">
        <v>2022</v>
      </c>
      <c r="T1">
        <f>+S1+1</f>
        <v>2023</v>
      </c>
      <c r="U1">
        <f t="shared" ref="U1:AK1" si="0">+T1+1</f>
        <v>2024</v>
      </c>
      <c r="V1">
        <f t="shared" si="0"/>
        <v>2025</v>
      </c>
      <c r="W1">
        <f t="shared" si="0"/>
        <v>2026</v>
      </c>
      <c r="X1">
        <f t="shared" si="0"/>
        <v>2027</v>
      </c>
      <c r="Y1">
        <f t="shared" si="0"/>
        <v>2028</v>
      </c>
      <c r="Z1">
        <f t="shared" si="0"/>
        <v>2029</v>
      </c>
      <c r="AA1">
        <f t="shared" si="0"/>
        <v>2030</v>
      </c>
      <c r="AB1">
        <f t="shared" si="0"/>
        <v>2031</v>
      </c>
      <c r="AC1">
        <f t="shared" si="0"/>
        <v>2032</v>
      </c>
      <c r="AD1">
        <f t="shared" si="0"/>
        <v>2033</v>
      </c>
      <c r="AE1">
        <f t="shared" si="0"/>
        <v>2034</v>
      </c>
      <c r="AF1">
        <f t="shared" si="0"/>
        <v>2035</v>
      </c>
      <c r="AG1">
        <f t="shared" si="0"/>
        <v>2036</v>
      </c>
      <c r="AH1">
        <f t="shared" si="0"/>
        <v>2037</v>
      </c>
      <c r="AI1">
        <f t="shared" si="0"/>
        <v>2038</v>
      </c>
      <c r="AJ1">
        <f t="shared" si="0"/>
        <v>2039</v>
      </c>
      <c r="AK1">
        <f t="shared" si="0"/>
        <v>2040</v>
      </c>
    </row>
    <row r="2" spans="1:37" s="4" customFormat="1" x14ac:dyDescent="0.25">
      <c r="A2" t="s">
        <v>26</v>
      </c>
      <c r="B2">
        <v>32246</v>
      </c>
      <c r="C2">
        <v>33744</v>
      </c>
      <c r="D2">
        <v>27698</v>
      </c>
      <c r="E2">
        <v>34449</v>
      </c>
      <c r="F2">
        <v>28476</v>
      </c>
      <c r="G2">
        <v>32250</v>
      </c>
      <c r="H2">
        <v>26769</v>
      </c>
      <c r="I2">
        <v>34719</v>
      </c>
      <c r="J2">
        <v>28878</v>
      </c>
      <c r="K2">
        <v>60878</v>
      </c>
      <c r="L2"/>
      <c r="M2"/>
      <c r="N2"/>
      <c r="O2"/>
      <c r="P2"/>
      <c r="Q2"/>
      <c r="R2"/>
      <c r="S2" s="4">
        <f>SUM(B2:E2)</f>
        <v>128137</v>
      </c>
      <c r="T2" s="4">
        <f>SUM(F2:I2)</f>
        <v>122214</v>
      </c>
    </row>
    <row r="3" spans="1:37" s="4" customFormat="1" x14ac:dyDescent="0.25">
      <c r="A3" t="s">
        <v>27</v>
      </c>
      <c r="B3">
        <v>5559</v>
      </c>
      <c r="C3">
        <v>6208</v>
      </c>
      <c r="D3">
        <v>6538</v>
      </c>
      <c r="E3">
        <v>8387</v>
      </c>
      <c r="F3">
        <v>6901</v>
      </c>
      <c r="G3">
        <v>7458</v>
      </c>
      <c r="H3">
        <v>7181</v>
      </c>
      <c r="I3">
        <v>8391</v>
      </c>
      <c r="J3">
        <v>7138</v>
      </c>
      <c r="K3">
        <v>15003</v>
      </c>
      <c r="L3"/>
      <c r="M3"/>
      <c r="N3"/>
      <c r="O3"/>
      <c r="P3"/>
      <c r="Q3"/>
      <c r="R3"/>
      <c r="S3" s="4">
        <f>SUM(B3:E3)</f>
        <v>26692</v>
      </c>
      <c r="T3" s="4">
        <f>SUM(F3:I3)</f>
        <v>29931</v>
      </c>
    </row>
    <row r="4" spans="1:37" s="9" customFormat="1" x14ac:dyDescent="0.25">
      <c r="A4" s="5" t="s">
        <v>28</v>
      </c>
      <c r="B4" s="5">
        <f>+B2+B3</f>
        <v>37805</v>
      </c>
      <c r="C4" s="5">
        <f>+C2+C3</f>
        <v>39952</v>
      </c>
      <c r="D4" s="5">
        <f>+D2+D3</f>
        <v>34236</v>
      </c>
      <c r="E4" s="5">
        <f>+E2+E3</f>
        <v>42836</v>
      </c>
      <c r="F4" s="5">
        <f>+F2+F3</f>
        <v>35377</v>
      </c>
      <c r="G4" s="5">
        <f>+G2+G3</f>
        <v>39708</v>
      </c>
      <c r="H4" s="5">
        <f>+H2+H3</f>
        <v>33950</v>
      </c>
      <c r="I4" s="5">
        <f>+I2+I3</f>
        <v>43110</v>
      </c>
      <c r="J4" s="5">
        <f>+J2+J3</f>
        <v>36016</v>
      </c>
      <c r="K4" s="5">
        <f>+K2+K3</f>
        <v>75881</v>
      </c>
      <c r="L4" s="5"/>
      <c r="M4" s="5"/>
      <c r="N4" s="5"/>
      <c r="O4" s="5"/>
      <c r="P4" s="5"/>
      <c r="Q4" s="5"/>
      <c r="R4" s="5"/>
      <c r="S4" s="9">
        <f>+S2+S3</f>
        <v>154829</v>
      </c>
      <c r="T4" s="9">
        <f>+T2+T3</f>
        <v>152145</v>
      </c>
      <c r="U4" s="9">
        <f>+T4*(1-$N$23)</f>
        <v>159752.25</v>
      </c>
      <c r="V4" s="9">
        <f t="shared" ref="V4:AK4" si="1">+U4*(1-$N$23)</f>
        <v>167739.86250000002</v>
      </c>
      <c r="W4" s="9">
        <f t="shared" si="1"/>
        <v>176126.85562500003</v>
      </c>
      <c r="X4" s="9">
        <f t="shared" si="1"/>
        <v>184933.19840625004</v>
      </c>
      <c r="Y4" s="9">
        <f t="shared" si="1"/>
        <v>194179.85832656256</v>
      </c>
      <c r="Z4" s="9">
        <f t="shared" si="1"/>
        <v>203888.8512428907</v>
      </c>
      <c r="AA4" s="9">
        <f t="shared" si="1"/>
        <v>214083.29380503524</v>
      </c>
      <c r="AB4" s="9">
        <f t="shared" si="1"/>
        <v>224787.45849528702</v>
      </c>
      <c r="AC4" s="9">
        <f t="shared" si="1"/>
        <v>236026.83142005137</v>
      </c>
      <c r="AD4" s="9">
        <f t="shared" si="1"/>
        <v>247828.17299105396</v>
      </c>
      <c r="AE4" s="9">
        <f t="shared" si="1"/>
        <v>260219.58164060666</v>
      </c>
      <c r="AF4" s="9">
        <f t="shared" si="1"/>
        <v>273230.56072263699</v>
      </c>
      <c r="AG4" s="9">
        <f t="shared" si="1"/>
        <v>286892.08875876886</v>
      </c>
      <c r="AH4" s="9">
        <f t="shared" si="1"/>
        <v>301236.69319670735</v>
      </c>
      <c r="AI4" s="9">
        <f t="shared" si="1"/>
        <v>316298.52785654273</v>
      </c>
      <c r="AJ4" s="9">
        <f t="shared" si="1"/>
        <v>332113.45424936985</v>
      </c>
      <c r="AK4" s="9">
        <f t="shared" si="1"/>
        <v>348719.12696183834</v>
      </c>
    </row>
    <row r="5" spans="1:37" s="4" customFormat="1" x14ac:dyDescent="0.25">
      <c r="A5" t="s">
        <v>29</v>
      </c>
      <c r="B5">
        <v>32529</v>
      </c>
      <c r="C5">
        <v>34593</v>
      </c>
      <c r="D5">
        <v>29147</v>
      </c>
      <c r="E5">
        <v>36814</v>
      </c>
      <c r="F5">
        <v>30133</v>
      </c>
      <c r="G5">
        <v>33994</v>
      </c>
      <c r="H5">
        <v>28639</v>
      </c>
      <c r="I5">
        <v>36983</v>
      </c>
      <c r="J5">
        <v>30507</v>
      </c>
      <c r="K5">
        <v>64088</v>
      </c>
      <c r="L5"/>
      <c r="M5"/>
      <c r="N5"/>
      <c r="O5"/>
      <c r="P5"/>
      <c r="Q5"/>
      <c r="R5"/>
      <c r="S5" s="4">
        <f>SUM(B5:E5)</f>
        <v>133083</v>
      </c>
      <c r="T5" s="4">
        <f>SUM(F5:I5)</f>
        <v>129749</v>
      </c>
      <c r="U5" s="4">
        <f>+T5*1.04</f>
        <v>134938.96</v>
      </c>
      <c r="V5" s="4">
        <f t="shared" ref="V5:AK5" si="2">+U5*1.04</f>
        <v>140336.5184</v>
      </c>
      <c r="W5" s="4">
        <f t="shared" si="2"/>
        <v>145949.97913600001</v>
      </c>
      <c r="X5" s="4">
        <f t="shared" si="2"/>
        <v>151787.97830144002</v>
      </c>
      <c r="Y5" s="4">
        <f t="shared" si="2"/>
        <v>157859.49743349763</v>
      </c>
      <c r="Z5" s="4">
        <f t="shared" si="2"/>
        <v>164173.87733083754</v>
      </c>
      <c r="AA5" s="4">
        <f t="shared" si="2"/>
        <v>170740.83242407104</v>
      </c>
      <c r="AB5" s="4">
        <f t="shared" si="2"/>
        <v>177570.46572103389</v>
      </c>
      <c r="AC5" s="4">
        <f t="shared" si="2"/>
        <v>184673.28434987526</v>
      </c>
      <c r="AD5" s="4">
        <f t="shared" si="2"/>
        <v>192060.21572387029</v>
      </c>
      <c r="AE5" s="4">
        <f t="shared" si="2"/>
        <v>199742.62435282511</v>
      </c>
      <c r="AF5" s="4">
        <f t="shared" si="2"/>
        <v>207732.32932693811</v>
      </c>
      <c r="AG5" s="4">
        <f t="shared" si="2"/>
        <v>216041.62250001566</v>
      </c>
      <c r="AH5" s="4">
        <f t="shared" si="2"/>
        <v>224683.2874000163</v>
      </c>
      <c r="AI5" s="4">
        <f t="shared" si="2"/>
        <v>233670.61889601697</v>
      </c>
      <c r="AJ5" s="4">
        <f t="shared" si="2"/>
        <v>243017.44365185764</v>
      </c>
      <c r="AK5" s="4">
        <f t="shared" si="2"/>
        <v>252738.14139793196</v>
      </c>
    </row>
    <row r="6" spans="1:37" s="9" customFormat="1" x14ac:dyDescent="0.25">
      <c r="A6" s="1" t="s">
        <v>30</v>
      </c>
      <c r="B6" s="1">
        <f>+B4-B5</f>
        <v>5276</v>
      </c>
      <c r="C6" s="1">
        <f>+C4-C5</f>
        <v>5359</v>
      </c>
      <c r="D6" s="1">
        <f>+D4-D5</f>
        <v>5089</v>
      </c>
      <c r="E6" s="1">
        <f>+E4-E5</f>
        <v>6022</v>
      </c>
      <c r="F6" s="1">
        <f>+F4-F5</f>
        <v>5244</v>
      </c>
      <c r="G6" s="1">
        <f>+G4-G5</f>
        <v>5714</v>
      </c>
      <c r="H6" s="1">
        <f>+H4-H5</f>
        <v>5311</v>
      </c>
      <c r="I6" s="1">
        <f>+I4-I5</f>
        <v>6127</v>
      </c>
      <c r="J6" s="1">
        <f>+J4-J5</f>
        <v>5509</v>
      </c>
      <c r="K6" s="1">
        <f>+K4-K5</f>
        <v>11793</v>
      </c>
      <c r="L6" s="1"/>
      <c r="M6" s="1"/>
      <c r="N6" s="1"/>
      <c r="O6" s="1"/>
      <c r="P6" s="1"/>
      <c r="Q6" s="1"/>
      <c r="R6" s="1"/>
      <c r="S6" s="9">
        <f>+S4-S5</f>
        <v>21746</v>
      </c>
      <c r="T6" s="9">
        <f>+T4-T5</f>
        <v>22396</v>
      </c>
      <c r="U6" s="9">
        <f>+U4-U5</f>
        <v>24813.290000000008</v>
      </c>
      <c r="V6" s="9">
        <f t="shared" ref="V6:AK6" si="3">+V4-V5</f>
        <v>27403.344100000017</v>
      </c>
      <c r="W6" s="9">
        <f t="shared" si="3"/>
        <v>30176.876489000017</v>
      </c>
      <c r="X6" s="9">
        <f t="shared" si="3"/>
        <v>33145.220104810025</v>
      </c>
      <c r="Y6" s="9">
        <f t="shared" si="3"/>
        <v>36320.360893064935</v>
      </c>
      <c r="Z6" s="9">
        <f t="shared" si="3"/>
        <v>39714.973912053159</v>
      </c>
      <c r="AA6" s="9">
        <f t="shared" si="3"/>
        <v>43342.461380964203</v>
      </c>
      <c r="AB6" s="9">
        <f t="shared" si="3"/>
        <v>47216.992774253129</v>
      </c>
      <c r="AC6" s="9">
        <f t="shared" si="3"/>
        <v>51353.547070176108</v>
      </c>
      <c r="AD6" s="9">
        <f t="shared" si="3"/>
        <v>55767.957267183665</v>
      </c>
      <c r="AE6" s="9">
        <f t="shared" si="3"/>
        <v>60476.957287781552</v>
      </c>
      <c r="AF6" s="9">
        <f t="shared" si="3"/>
        <v>65498.23139569888</v>
      </c>
      <c r="AG6" s="9">
        <f t="shared" si="3"/>
        <v>70850.466258753208</v>
      </c>
      <c r="AH6" s="9">
        <f t="shared" si="3"/>
        <v>76553.405796691048</v>
      </c>
      <c r="AI6" s="9">
        <f t="shared" si="3"/>
        <v>82627.908960525761</v>
      </c>
      <c r="AJ6" s="9">
        <f t="shared" si="3"/>
        <v>89096.010597512213</v>
      </c>
      <c r="AK6" s="9">
        <f t="shared" si="3"/>
        <v>95980.985563906375</v>
      </c>
    </row>
    <row r="7" spans="1:37" s="4" customFormat="1" x14ac:dyDescent="0.25">
      <c r="A7" t="s">
        <v>31</v>
      </c>
      <c r="B7">
        <v>-2443</v>
      </c>
      <c r="C7">
        <v>-2435</v>
      </c>
      <c r="D7">
        <v>-2018</v>
      </c>
      <c r="E7">
        <v>-2445</v>
      </c>
      <c r="F7">
        <v>-2237</v>
      </c>
      <c r="G7">
        <v>-2300</v>
      </c>
      <c r="H7">
        <v>-2087</v>
      </c>
      <c r="I7">
        <v>-2434</v>
      </c>
      <c r="J7">
        <v>-2328</v>
      </c>
      <c r="K7">
        <v>-4682</v>
      </c>
      <c r="L7"/>
      <c r="M7"/>
      <c r="N7"/>
      <c r="O7"/>
      <c r="P7"/>
      <c r="Q7"/>
      <c r="R7"/>
      <c r="S7" s="4">
        <f t="shared" ref="S7:S11" si="4">SUM(B7:E7)</f>
        <v>-9341</v>
      </c>
      <c r="T7" s="4">
        <f t="shared" ref="T7:T11" si="5">SUM(F7:I7)</f>
        <v>-9058</v>
      </c>
      <c r="U7" s="4">
        <f>+T7*1.03</f>
        <v>-9329.74</v>
      </c>
      <c r="V7" s="4">
        <f t="shared" ref="V7:AK7" si="6">+U7*1.03</f>
        <v>-9609.6322</v>
      </c>
      <c r="W7" s="4">
        <f t="shared" si="6"/>
        <v>-9897.9211660000001</v>
      </c>
      <c r="X7" s="4">
        <f t="shared" si="6"/>
        <v>-10194.858800980001</v>
      </c>
      <c r="Y7" s="4">
        <f t="shared" si="6"/>
        <v>-10500.704565009401</v>
      </c>
      <c r="Z7" s="4">
        <f t="shared" si="6"/>
        <v>-10815.725701959684</v>
      </c>
      <c r="AA7" s="4">
        <f t="shared" si="6"/>
        <v>-11140.197473018474</v>
      </c>
      <c r="AB7" s="4">
        <f t="shared" si="6"/>
        <v>-11474.403397209029</v>
      </c>
      <c r="AC7" s="4">
        <f t="shared" si="6"/>
        <v>-11818.635499125301</v>
      </c>
      <c r="AD7" s="4">
        <f t="shared" si="6"/>
        <v>-12173.19456409906</v>
      </c>
      <c r="AE7" s="4">
        <f t="shared" si="6"/>
        <v>-12538.390401022032</v>
      </c>
      <c r="AF7" s="4">
        <f t="shared" si="6"/>
        <v>-12914.542113052694</v>
      </c>
      <c r="AG7" s="4">
        <f t="shared" si="6"/>
        <v>-13301.978376444275</v>
      </c>
      <c r="AH7" s="4">
        <f t="shared" si="6"/>
        <v>-13701.037727737603</v>
      </c>
      <c r="AI7" s="4">
        <f t="shared" si="6"/>
        <v>-14112.068859569732</v>
      </c>
      <c r="AJ7" s="4">
        <f t="shared" si="6"/>
        <v>-14535.430925356824</v>
      </c>
      <c r="AK7" s="4">
        <f t="shared" si="6"/>
        <v>-14971.49385311753</v>
      </c>
    </row>
    <row r="8" spans="1:37" s="10" customFormat="1" x14ac:dyDescent="0.25">
      <c r="A8" s="6" t="s">
        <v>32</v>
      </c>
      <c r="B8" s="6">
        <v>-1373</v>
      </c>
      <c r="C8" s="6">
        <v>-1415</v>
      </c>
      <c r="D8" s="6">
        <v>-1069</v>
      </c>
      <c r="E8" s="6">
        <v>-1738</v>
      </c>
      <c r="F8" s="6">
        <v>-1166</v>
      </c>
      <c r="G8" s="6">
        <v>-1526</v>
      </c>
      <c r="H8" s="6">
        <v>-1090</v>
      </c>
      <c r="I8" s="6">
        <v>-1847</v>
      </c>
      <c r="J8" s="6">
        <v>-1282</v>
      </c>
      <c r="K8" s="6">
        <v>-2906</v>
      </c>
      <c r="L8" s="6"/>
      <c r="M8" s="6"/>
      <c r="N8" s="6"/>
      <c r="O8" s="6"/>
      <c r="P8" s="6"/>
      <c r="Q8" s="6"/>
      <c r="R8" s="6"/>
      <c r="S8" s="4">
        <f t="shared" si="4"/>
        <v>-5595</v>
      </c>
      <c r="T8" s="4">
        <f t="shared" si="5"/>
        <v>-5629</v>
      </c>
      <c r="U8" s="4">
        <f t="shared" ref="U8:AK8" si="7">+T8*1.03</f>
        <v>-5797.87</v>
      </c>
      <c r="V8" s="4">
        <f t="shared" si="7"/>
        <v>-5971.8060999999998</v>
      </c>
      <c r="W8" s="4">
        <f t="shared" si="7"/>
        <v>-6150.9602830000003</v>
      </c>
      <c r="X8" s="4">
        <f t="shared" si="7"/>
        <v>-6335.4890914900006</v>
      </c>
      <c r="Y8" s="4">
        <f t="shared" si="7"/>
        <v>-6525.5537642347008</v>
      </c>
      <c r="Z8" s="4">
        <f t="shared" si="7"/>
        <v>-6721.3203771617418</v>
      </c>
      <c r="AA8" s="4">
        <f t="shared" si="7"/>
        <v>-6922.9599884765939</v>
      </c>
      <c r="AB8" s="4">
        <f t="shared" si="7"/>
        <v>-7130.6487881308922</v>
      </c>
      <c r="AC8" s="4">
        <f t="shared" si="7"/>
        <v>-7344.5682517748191</v>
      </c>
      <c r="AD8" s="4">
        <f t="shared" si="7"/>
        <v>-7564.9052993280638</v>
      </c>
      <c r="AE8" s="4">
        <f t="shared" si="7"/>
        <v>-7791.8524583079061</v>
      </c>
      <c r="AF8" s="4">
        <f t="shared" si="7"/>
        <v>-8025.6080320571436</v>
      </c>
      <c r="AG8" s="4">
        <f t="shared" si="7"/>
        <v>-8266.3762730188573</v>
      </c>
      <c r="AH8" s="4">
        <f t="shared" si="7"/>
        <v>-8514.367561209423</v>
      </c>
      <c r="AI8" s="4">
        <f t="shared" si="7"/>
        <v>-8769.7985880457054</v>
      </c>
      <c r="AJ8" s="4">
        <f t="shared" si="7"/>
        <v>-9032.8925456870766</v>
      </c>
      <c r="AK8" s="4">
        <f t="shared" si="7"/>
        <v>-9303.8793220576899</v>
      </c>
    </row>
    <row r="9" spans="1:37" s="4" customFormat="1" x14ac:dyDescent="0.25">
      <c r="A9" t="s">
        <v>33</v>
      </c>
      <c r="B9" s="6">
        <v>-692</v>
      </c>
      <c r="C9" s="6">
        <v>-601</v>
      </c>
      <c r="D9" s="6">
        <v>-579</v>
      </c>
      <c r="E9" s="6">
        <v>-633</v>
      </c>
      <c r="F9" s="6">
        <v>-610</v>
      </c>
      <c r="G9" s="6">
        <v>-562</v>
      </c>
      <c r="H9" s="6">
        <v>-520</v>
      </c>
      <c r="I9" s="6">
        <v>-611</v>
      </c>
      <c r="J9" s="6">
        <v>-559</v>
      </c>
      <c r="K9">
        <v>-1135</v>
      </c>
      <c r="L9"/>
      <c r="M9"/>
      <c r="N9"/>
      <c r="O9"/>
      <c r="P9"/>
      <c r="Q9"/>
      <c r="R9"/>
      <c r="S9" s="4">
        <f t="shared" si="4"/>
        <v>-2505</v>
      </c>
      <c r="T9" s="4">
        <f t="shared" si="5"/>
        <v>-2303</v>
      </c>
      <c r="U9" s="4">
        <f t="shared" ref="U9:AK9" si="8">+T9*1.03</f>
        <v>-2372.09</v>
      </c>
      <c r="V9" s="4">
        <f t="shared" si="8"/>
        <v>-2443.2527</v>
      </c>
      <c r="W9" s="4">
        <f t="shared" si="8"/>
        <v>-2516.5502810000003</v>
      </c>
      <c r="X9" s="4">
        <f t="shared" si="8"/>
        <v>-2592.0467894300004</v>
      </c>
      <c r="Y9" s="4">
        <f t="shared" si="8"/>
        <v>-2669.8081931129004</v>
      </c>
      <c r="Z9" s="4">
        <f t="shared" si="8"/>
        <v>-2749.9024389062874</v>
      </c>
      <c r="AA9" s="4">
        <f t="shared" si="8"/>
        <v>-2832.3995120734762</v>
      </c>
      <c r="AB9" s="4">
        <f t="shared" si="8"/>
        <v>-2917.3714974356808</v>
      </c>
      <c r="AC9" s="4">
        <f t="shared" si="8"/>
        <v>-3004.8926423587513</v>
      </c>
      <c r="AD9" s="4">
        <f t="shared" si="8"/>
        <v>-3095.039421629514</v>
      </c>
      <c r="AE9" s="4">
        <f t="shared" si="8"/>
        <v>-3187.8906042783997</v>
      </c>
      <c r="AF9" s="4">
        <f t="shared" si="8"/>
        <v>-3283.5273224067519</v>
      </c>
      <c r="AG9" s="4">
        <f t="shared" si="8"/>
        <v>-3382.0331420789544</v>
      </c>
      <c r="AH9" s="4">
        <f t="shared" si="8"/>
        <v>-3483.4941363413232</v>
      </c>
      <c r="AI9" s="4">
        <f t="shared" si="8"/>
        <v>-3587.9989604315629</v>
      </c>
      <c r="AJ9" s="4">
        <f t="shared" si="8"/>
        <v>-3695.6389292445097</v>
      </c>
      <c r="AK9" s="4">
        <f t="shared" si="8"/>
        <v>-3806.5080971218449</v>
      </c>
    </row>
    <row r="10" spans="1:37" s="4" customFormat="1" x14ac:dyDescent="0.25">
      <c r="A10" t="s">
        <v>34</v>
      </c>
      <c r="B10" s="6">
        <v>-388</v>
      </c>
      <c r="C10" s="6">
        <v>-347</v>
      </c>
      <c r="D10" s="6">
        <v>-369</v>
      </c>
      <c r="E10" s="6">
        <v>-528</v>
      </c>
      <c r="F10" s="6">
        <v>-364</v>
      </c>
      <c r="G10" s="6">
        <v>-325</v>
      </c>
      <c r="H10" s="6">
        <v>-339</v>
      </c>
      <c r="I10" s="6">
        <v>-335</v>
      </c>
      <c r="J10" s="6">
        <v>-274</v>
      </c>
      <c r="K10" s="6">
        <v>-565</v>
      </c>
      <c r="L10"/>
      <c r="M10"/>
      <c r="N10"/>
      <c r="O10"/>
      <c r="P10"/>
      <c r="Q10"/>
      <c r="R10"/>
      <c r="S10" s="4">
        <f t="shared" si="4"/>
        <v>-1632</v>
      </c>
      <c r="T10" s="4">
        <f t="shared" si="5"/>
        <v>-1363</v>
      </c>
      <c r="U10" s="4">
        <f t="shared" ref="U10:AK11" si="9">+T10*1.03</f>
        <v>-1403.89</v>
      </c>
      <c r="V10" s="4">
        <f t="shared" si="9"/>
        <v>-1446.0067000000001</v>
      </c>
      <c r="W10" s="4">
        <f t="shared" si="9"/>
        <v>-1489.3869010000001</v>
      </c>
      <c r="X10" s="4">
        <f t="shared" si="9"/>
        <v>-1534.0685080300002</v>
      </c>
      <c r="Y10" s="4">
        <f t="shared" si="9"/>
        <v>-1580.0905632709002</v>
      </c>
      <c r="Z10" s="4">
        <f t="shared" si="9"/>
        <v>-1627.4932801690272</v>
      </c>
      <c r="AA10" s="4">
        <f t="shared" si="9"/>
        <v>-1676.3180785740981</v>
      </c>
      <c r="AB10" s="4">
        <f t="shared" si="9"/>
        <v>-1726.607620931321</v>
      </c>
      <c r="AC10" s="4">
        <f t="shared" si="9"/>
        <v>-1778.4058495592606</v>
      </c>
      <c r="AD10" s="4">
        <f t="shared" si="9"/>
        <v>-1831.7580250460385</v>
      </c>
      <c r="AE10" s="4">
        <f t="shared" si="9"/>
        <v>-1886.7107657974198</v>
      </c>
      <c r="AF10" s="4">
        <f t="shared" si="9"/>
        <v>-1943.3120887713424</v>
      </c>
      <c r="AG10" s="4">
        <f t="shared" si="9"/>
        <v>-2001.6114514344827</v>
      </c>
      <c r="AH10" s="4">
        <f t="shared" si="9"/>
        <v>-2061.6597949775173</v>
      </c>
      <c r="AI10" s="4">
        <f t="shared" si="9"/>
        <v>-2123.5095888268429</v>
      </c>
      <c r="AJ10" s="4">
        <f t="shared" si="9"/>
        <v>-2187.2148764916483</v>
      </c>
      <c r="AK10" s="4">
        <f t="shared" si="9"/>
        <v>-2252.8313227863978</v>
      </c>
    </row>
    <row r="11" spans="1:37" s="4" customFormat="1" x14ac:dyDescent="0.25">
      <c r="A11" t="s">
        <v>42</v>
      </c>
      <c r="B11" s="6">
        <v>0</v>
      </c>
      <c r="C11" s="6">
        <v>0</v>
      </c>
      <c r="D11" s="6">
        <v>173</v>
      </c>
      <c r="E11" s="6">
        <v>22</v>
      </c>
      <c r="F11" s="6">
        <v>69</v>
      </c>
      <c r="G11" s="6">
        <v>139</v>
      </c>
      <c r="H11" s="6">
        <v>0</v>
      </c>
      <c r="I11" s="6">
        <v>113</v>
      </c>
      <c r="J11" s="6">
        <v>0</v>
      </c>
      <c r="K11" s="6">
        <v>0</v>
      </c>
      <c r="L11"/>
      <c r="M11"/>
      <c r="N11"/>
      <c r="O11"/>
      <c r="P11"/>
      <c r="Q11"/>
      <c r="R11"/>
      <c r="S11" s="4">
        <f t="shared" si="4"/>
        <v>195</v>
      </c>
      <c r="T11" s="4">
        <f t="shared" si="5"/>
        <v>321</v>
      </c>
      <c r="U11" s="4">
        <f t="shared" si="9"/>
        <v>330.63</v>
      </c>
      <c r="V11" s="4">
        <f t="shared" si="9"/>
        <v>340.5489</v>
      </c>
      <c r="W11" s="4">
        <f t="shared" si="9"/>
        <v>350.76536700000003</v>
      </c>
      <c r="X11" s="4">
        <f t="shared" si="9"/>
        <v>361.28832801000004</v>
      </c>
      <c r="Y11" s="4">
        <f t="shared" si="9"/>
        <v>372.12697785030008</v>
      </c>
      <c r="Z11" s="4">
        <f t="shared" si="9"/>
        <v>383.29078718580911</v>
      </c>
      <c r="AA11" s="4">
        <f t="shared" si="9"/>
        <v>394.78951080138341</v>
      </c>
      <c r="AB11" s="4">
        <f t="shared" si="9"/>
        <v>406.63319612542494</v>
      </c>
      <c r="AC11" s="4">
        <f t="shared" si="9"/>
        <v>418.83219200918768</v>
      </c>
      <c r="AD11" s="4">
        <f t="shared" si="9"/>
        <v>431.39715776946332</v>
      </c>
      <c r="AE11" s="4">
        <f t="shared" si="9"/>
        <v>444.33907250254725</v>
      </c>
      <c r="AF11" s="4">
        <f t="shared" si="9"/>
        <v>457.66924467762368</v>
      </c>
      <c r="AG11" s="4">
        <f t="shared" si="9"/>
        <v>471.39932201795239</v>
      </c>
      <c r="AH11" s="4">
        <f t="shared" si="9"/>
        <v>485.54130167849098</v>
      </c>
      <c r="AI11" s="4">
        <f t="shared" si="9"/>
        <v>500.10754072884572</v>
      </c>
      <c r="AJ11" s="4">
        <f t="shared" si="9"/>
        <v>515.11076695071108</v>
      </c>
      <c r="AK11" s="4">
        <f t="shared" si="9"/>
        <v>530.56408995923243</v>
      </c>
    </row>
    <row r="12" spans="1:37" s="4" customFormat="1" x14ac:dyDescent="0.25">
      <c r="A12" t="s">
        <v>35</v>
      </c>
      <c r="B12">
        <f>+B7+B8+B9+B10+B11</f>
        <v>-4896</v>
      </c>
      <c r="C12">
        <f>+C7+C8+C9+C10+C11</f>
        <v>-4798</v>
      </c>
      <c r="D12">
        <f>+D7+D8+D9+D10+D11</f>
        <v>-3862</v>
      </c>
      <c r="E12">
        <f t="shared" ref="E12:K12" si="10">+E7+E8+E9+E10+E11</f>
        <v>-5322</v>
      </c>
      <c r="F12">
        <f t="shared" si="10"/>
        <v>-4308</v>
      </c>
      <c r="G12">
        <f t="shared" si="10"/>
        <v>-4574</v>
      </c>
      <c r="H12">
        <f t="shared" si="10"/>
        <v>-4036</v>
      </c>
      <c r="I12">
        <f t="shared" si="10"/>
        <v>-5114</v>
      </c>
      <c r="J12">
        <f t="shared" si="10"/>
        <v>-4443</v>
      </c>
      <c r="K12">
        <f t="shared" si="10"/>
        <v>-9288</v>
      </c>
      <c r="L12"/>
      <c r="M12"/>
      <c r="N12"/>
      <c r="O12"/>
      <c r="P12"/>
      <c r="Q12"/>
      <c r="R12"/>
      <c r="S12" s="4">
        <f t="shared" ref="S12:T12" si="11">+S7+S8+S9+S10+S11</f>
        <v>-18878</v>
      </c>
      <c r="T12" s="4">
        <f t="shared" si="11"/>
        <v>-18032</v>
      </c>
      <c r="U12" s="4">
        <f t="shared" ref="U12" si="12">+U7+U8+U9+U10+U11</f>
        <v>-18572.96</v>
      </c>
      <c r="V12" s="4">
        <f t="shared" ref="V12" si="13">+V7+V8+V9+V10+V11</f>
        <v>-19130.148799999999</v>
      </c>
      <c r="W12" s="4">
        <f t="shared" ref="W12" si="14">+W7+W8+W9+W10+W11</f>
        <v>-19704.053264000002</v>
      </c>
      <c r="X12" s="4">
        <f t="shared" ref="X12" si="15">+X7+X8+X9+X10+X11</f>
        <v>-20295.174861920004</v>
      </c>
      <c r="Y12" s="4">
        <f t="shared" ref="Y12" si="16">+Y7+Y8+Y9+Y10+Y11</f>
        <v>-20904.030107777602</v>
      </c>
      <c r="Z12" s="4">
        <f t="shared" ref="Z12" si="17">+Z7+Z8+Z9+Z10+Z11</f>
        <v>-21531.15101101093</v>
      </c>
      <c r="AA12" s="4">
        <f t="shared" ref="AA12" si="18">+AA7+AA8+AA9+AA10+AA11</f>
        <v>-22177.085541341257</v>
      </c>
      <c r="AB12" s="4">
        <f t="shared" ref="AB12" si="19">+AB7+AB8+AB9+AB10+AB11</f>
        <v>-22842.398107581499</v>
      </c>
      <c r="AC12" s="4">
        <f t="shared" ref="AC12" si="20">+AC7+AC8+AC9+AC10+AC11</f>
        <v>-23527.670050808945</v>
      </c>
      <c r="AD12" s="4">
        <f t="shared" ref="AD12" si="21">+AD7+AD8+AD9+AD10+AD11</f>
        <v>-24233.50015233321</v>
      </c>
      <c r="AE12" s="4">
        <f t="shared" ref="AE12" si="22">+AE7+AE8+AE9+AE10+AE11</f>
        <v>-24960.505156903211</v>
      </c>
      <c r="AF12" s="4">
        <f t="shared" ref="AF12" si="23">+AF7+AF8+AF9+AF10+AF11</f>
        <v>-25709.320311610307</v>
      </c>
      <c r="AG12" s="4">
        <f t="shared" ref="AG12" si="24">+AG7+AG8+AG9+AG10+AG11</f>
        <v>-26480.599920958619</v>
      </c>
      <c r="AH12" s="4">
        <f t="shared" ref="AH12" si="25">+AH7+AH8+AH9+AH10+AH11</f>
        <v>-27275.017918587375</v>
      </c>
      <c r="AI12" s="4">
        <f t="shared" ref="AI12" si="26">+AI7+AI8+AI9+AI10+AI11</f>
        <v>-28093.268456145001</v>
      </c>
      <c r="AJ12" s="4">
        <f t="shared" ref="AJ12" si="27">+AJ7+AJ8+AJ9+AJ10+AJ11</f>
        <v>-28936.066509829347</v>
      </c>
      <c r="AK12" s="4">
        <f t="shared" ref="AK12" si="28">+AK7+AK8+AK9+AK10+AK11</f>
        <v>-29804.148505124231</v>
      </c>
    </row>
    <row r="13" spans="1:37" s="9" customFormat="1" x14ac:dyDescent="0.25">
      <c r="A13" s="1" t="s">
        <v>36</v>
      </c>
      <c r="B13" s="1">
        <f>+B6+B12</f>
        <v>380</v>
      </c>
      <c r="C13" s="1">
        <f>+C6+C12</f>
        <v>561</v>
      </c>
      <c r="D13" s="1">
        <f>+D6+D12</f>
        <v>1227</v>
      </c>
      <c r="E13" s="1">
        <f t="shared" ref="E13:K13" si="29">+E6+E12</f>
        <v>700</v>
      </c>
      <c r="F13" s="1">
        <f t="shared" si="29"/>
        <v>936</v>
      </c>
      <c r="G13" s="1">
        <f t="shared" si="29"/>
        <v>1140</v>
      </c>
      <c r="H13" s="1">
        <f t="shared" si="29"/>
        <v>1275</v>
      </c>
      <c r="I13" s="1">
        <f t="shared" si="29"/>
        <v>1013</v>
      </c>
      <c r="J13" s="1">
        <f t="shared" si="29"/>
        <v>1066</v>
      </c>
      <c r="K13" s="1">
        <f t="shared" si="29"/>
        <v>2505</v>
      </c>
      <c r="L13" s="1"/>
      <c r="M13" s="1"/>
      <c r="N13" s="1"/>
      <c r="O13" s="1"/>
      <c r="P13" s="1"/>
      <c r="Q13" s="1"/>
      <c r="R13" s="1"/>
      <c r="S13" s="9">
        <f t="shared" ref="S13:T13" si="30">+S6+S12</f>
        <v>2868</v>
      </c>
      <c r="T13" s="9">
        <f t="shared" si="30"/>
        <v>4364</v>
      </c>
      <c r="U13" s="9">
        <f t="shared" ref="U13" si="31">+U6+U12</f>
        <v>6240.330000000009</v>
      </c>
      <c r="V13" s="9">
        <f t="shared" ref="V13" si="32">+V6+V12</f>
        <v>8273.1953000000176</v>
      </c>
      <c r="W13" s="9">
        <f t="shared" ref="W13" si="33">+W6+W12</f>
        <v>10472.823225000015</v>
      </c>
      <c r="X13" s="9">
        <f t="shared" ref="X13" si="34">+X6+X12</f>
        <v>12850.045242890021</v>
      </c>
      <c r="Y13" s="9">
        <f t="shared" ref="Y13" si="35">+Y6+Y12</f>
        <v>15416.330785287333</v>
      </c>
      <c r="Z13" s="9">
        <f t="shared" ref="Z13" si="36">+Z6+Z12</f>
        <v>18183.822901042229</v>
      </c>
      <c r="AA13" s="9">
        <f t="shared" ref="AA13" si="37">+AA6+AA12</f>
        <v>21165.375839622946</v>
      </c>
      <c r="AB13" s="9">
        <f t="shared" ref="AB13" si="38">+AB6+AB12</f>
        <v>24374.59466667163</v>
      </c>
      <c r="AC13" s="9">
        <f t="shared" ref="AC13" si="39">+AC6+AC12</f>
        <v>27825.877019367163</v>
      </c>
      <c r="AD13" s="9">
        <f t="shared" ref="AD13" si="40">+AD6+AD12</f>
        <v>31534.457114850455</v>
      </c>
      <c r="AE13" s="9">
        <f t="shared" ref="AE13" si="41">+AE6+AE12</f>
        <v>35516.452130878344</v>
      </c>
      <c r="AF13" s="9">
        <f t="shared" ref="AF13" si="42">+AF6+AF12</f>
        <v>39788.91108408857</v>
      </c>
      <c r="AG13" s="9">
        <f t="shared" ref="AG13" si="43">+AG6+AG12</f>
        <v>44369.866337794592</v>
      </c>
      <c r="AH13" s="9">
        <f t="shared" ref="AH13" si="44">+AH6+AH12</f>
        <v>49278.387878103676</v>
      </c>
      <c r="AI13" s="9">
        <f t="shared" ref="AI13" si="45">+AI6+AI12</f>
        <v>54534.640504380761</v>
      </c>
      <c r="AJ13" s="9">
        <f t="shared" ref="AJ13" si="46">+AJ6+AJ12</f>
        <v>60159.944087682867</v>
      </c>
      <c r="AK13" s="9">
        <f t="shared" ref="AK13" si="47">+AK6+AK12</f>
        <v>66176.837058782141</v>
      </c>
    </row>
    <row r="14" spans="1:37" s="4" customFormat="1" x14ac:dyDescent="0.25">
      <c r="A14" t="s">
        <v>37</v>
      </c>
      <c r="B14">
        <f>-170-55-615</f>
        <v>-840</v>
      </c>
      <c r="C14">
        <f>-239-72+535</f>
        <v>224</v>
      </c>
      <c r="D14">
        <f>53-81-115</f>
        <v>-143</v>
      </c>
      <c r="E14">
        <f>16-101-62</f>
        <v>-147</v>
      </c>
      <c r="F14">
        <f>-120-86+407</f>
        <v>201</v>
      </c>
      <c r="G14">
        <f>125-90+167</f>
        <v>202</v>
      </c>
      <c r="H14">
        <f>59-97+243</f>
        <v>205</v>
      </c>
      <c r="I14">
        <f>70-131+241</f>
        <v>180</v>
      </c>
      <c r="J14">
        <f>-101-83+373</f>
        <v>189</v>
      </c>
      <c r="K14">
        <f>57-177+1012</f>
        <v>892</v>
      </c>
      <c r="L14"/>
      <c r="M14"/>
      <c r="N14"/>
      <c r="O14" t="s">
        <v>17</v>
      </c>
      <c r="P14"/>
      <c r="Q14"/>
      <c r="R14"/>
      <c r="S14" s="4">
        <f t="shared" ref="S14:S16" si="48">SUM(B14:E14)</f>
        <v>-906</v>
      </c>
      <c r="T14" s="4">
        <f t="shared" ref="T14:T16" si="49">SUM(F14:I14)</f>
        <v>788</v>
      </c>
      <c r="U14" s="4">
        <f>+T31*$N$22</f>
        <v>410.08</v>
      </c>
      <c r="V14" s="4">
        <f t="shared" ref="V14:AK14" si="50">+U31*$N$22</f>
        <v>463.2832800000001</v>
      </c>
      <c r="W14" s="4">
        <f t="shared" si="50"/>
        <v>533.1751086400003</v>
      </c>
      <c r="X14" s="4">
        <f t="shared" si="50"/>
        <v>621.22309530912037</v>
      </c>
      <c r="Y14" s="4">
        <f t="shared" si="50"/>
        <v>728.99324201471347</v>
      </c>
      <c r="Z14" s="4">
        <f t="shared" si="50"/>
        <v>858.15583423312989</v>
      </c>
      <c r="AA14" s="4">
        <f t="shared" si="50"/>
        <v>1010.4916641153327</v>
      </c>
      <c r="AB14" s="4">
        <f t="shared" si="50"/>
        <v>1187.898604145239</v>
      </c>
      <c r="AC14" s="4">
        <f t="shared" si="50"/>
        <v>1392.398550311774</v>
      </c>
      <c r="AD14" s="4">
        <f t="shared" si="50"/>
        <v>1626.1447548692056</v>
      </c>
      <c r="AE14" s="4">
        <f t="shared" si="50"/>
        <v>1891.429569826963</v>
      </c>
      <c r="AF14" s="4">
        <f t="shared" si="50"/>
        <v>2190.6926234326052</v>
      </c>
      <c r="AG14" s="4">
        <f t="shared" si="50"/>
        <v>2526.5294530927745</v>
      </c>
      <c r="AH14" s="4">
        <f t="shared" si="50"/>
        <v>2901.7006194198739</v>
      </c>
      <c r="AI14" s="4">
        <f t="shared" si="50"/>
        <v>3319.141327400062</v>
      </c>
      <c r="AJ14" s="4">
        <f t="shared" si="50"/>
        <v>3781.9715820543083</v>
      </c>
      <c r="AK14" s="4">
        <f t="shared" si="50"/>
        <v>4293.5069074122057</v>
      </c>
    </row>
    <row r="15" spans="1:37" s="4" customFormat="1" x14ac:dyDescent="0.25">
      <c r="A15" t="s">
        <v>38</v>
      </c>
      <c r="B15">
        <f>+B13+B14</f>
        <v>-460</v>
      </c>
      <c r="C15">
        <f>+C13+C14</f>
        <v>785</v>
      </c>
      <c r="D15">
        <f>+D13+D14</f>
        <v>1084</v>
      </c>
      <c r="E15">
        <f>+E13+E14</f>
        <v>553</v>
      </c>
      <c r="F15">
        <f>+F13+F14</f>
        <v>1137</v>
      </c>
      <c r="G15">
        <f>+G13+G14</f>
        <v>1342</v>
      </c>
      <c r="H15">
        <f>+H13+H14</f>
        <v>1480</v>
      </c>
      <c r="I15">
        <f>+I13+I14</f>
        <v>1193</v>
      </c>
      <c r="J15">
        <f>+J13+J14</f>
        <v>1255</v>
      </c>
      <c r="K15">
        <f>+K13+K14</f>
        <v>3397</v>
      </c>
      <c r="L15"/>
      <c r="M15"/>
      <c r="N15"/>
      <c r="O15"/>
      <c r="P15"/>
      <c r="Q15"/>
      <c r="R15"/>
      <c r="S15" s="4">
        <f>+S13+S14</f>
        <v>1962</v>
      </c>
      <c r="T15" s="4">
        <f>+T13+T14</f>
        <v>5152</v>
      </c>
      <c r="U15" s="4">
        <f t="shared" ref="U15:AK15" si="51">+U13+U14</f>
        <v>6650.4100000000089</v>
      </c>
      <c r="V15" s="4">
        <f t="shared" si="51"/>
        <v>8736.4785800000172</v>
      </c>
      <c r="W15" s="4">
        <f t="shared" si="51"/>
        <v>11005.998333640015</v>
      </c>
      <c r="X15" s="4">
        <f t="shared" si="51"/>
        <v>13471.268338199141</v>
      </c>
      <c r="Y15" s="4">
        <f t="shared" si="51"/>
        <v>16145.324027302047</v>
      </c>
      <c r="Z15" s="4">
        <f t="shared" si="51"/>
        <v>19041.978735275359</v>
      </c>
      <c r="AA15" s="4">
        <f t="shared" si="51"/>
        <v>22175.867503738278</v>
      </c>
      <c r="AB15" s="4">
        <f t="shared" si="51"/>
        <v>25562.493270816871</v>
      </c>
      <c r="AC15" s="4">
        <f t="shared" si="51"/>
        <v>29218.275569678935</v>
      </c>
      <c r="AD15" s="4">
        <f t="shared" si="51"/>
        <v>33160.601869719663</v>
      </c>
      <c r="AE15" s="4">
        <f t="shared" si="51"/>
        <v>37407.881700705308</v>
      </c>
      <c r="AF15" s="4">
        <f t="shared" si="51"/>
        <v>41979.603707521172</v>
      </c>
      <c r="AG15" s="4">
        <f t="shared" si="51"/>
        <v>46896.395790887364</v>
      </c>
      <c r="AH15" s="4">
        <f t="shared" si="51"/>
        <v>52180.088497523553</v>
      </c>
      <c r="AI15" s="4">
        <f t="shared" si="51"/>
        <v>57853.78183178082</v>
      </c>
      <c r="AJ15" s="4">
        <f t="shared" si="51"/>
        <v>63941.915669737173</v>
      </c>
      <c r="AK15" s="4">
        <f t="shared" si="51"/>
        <v>70470.343966194341</v>
      </c>
    </row>
    <row r="16" spans="1:37" s="4" customFormat="1" x14ac:dyDescent="0.25">
      <c r="A16" t="s">
        <v>39</v>
      </c>
      <c r="B16">
        <v>95</v>
      </c>
      <c r="C16">
        <v>184</v>
      </c>
      <c r="D16">
        <v>246</v>
      </c>
      <c r="E16">
        <v>86</v>
      </c>
      <c r="F16">
        <v>234</v>
      </c>
      <c r="G16">
        <v>388</v>
      </c>
      <c r="H16">
        <v>353</v>
      </c>
      <c r="I16">
        <v>196</v>
      </c>
      <c r="J16">
        <v>235</v>
      </c>
      <c r="K16">
        <v>512</v>
      </c>
      <c r="L16"/>
      <c r="M16"/>
      <c r="N16"/>
      <c r="O16"/>
      <c r="P16"/>
      <c r="Q16"/>
      <c r="R16"/>
      <c r="S16" s="4">
        <f t="shared" si="48"/>
        <v>611</v>
      </c>
      <c r="T16" s="4">
        <f t="shared" si="49"/>
        <v>1171</v>
      </c>
      <c r="U16" s="4">
        <f>+U15*0.2</f>
        <v>1330.0820000000019</v>
      </c>
      <c r="V16" s="4">
        <f t="shared" ref="V16:AK16" si="52">+V15*0.2</f>
        <v>1747.2957160000035</v>
      </c>
      <c r="W16" s="4">
        <f t="shared" si="52"/>
        <v>2201.1996667280032</v>
      </c>
      <c r="X16" s="4">
        <f t="shared" si="52"/>
        <v>2694.2536676398286</v>
      </c>
      <c r="Y16" s="4">
        <f t="shared" si="52"/>
        <v>3229.0648054604098</v>
      </c>
      <c r="Z16" s="4">
        <f t="shared" si="52"/>
        <v>3808.3957470550722</v>
      </c>
      <c r="AA16" s="4">
        <f t="shared" si="52"/>
        <v>4435.1735007476555</v>
      </c>
      <c r="AB16" s="4">
        <f t="shared" si="52"/>
        <v>5112.4986541633743</v>
      </c>
      <c r="AC16" s="4">
        <f t="shared" si="52"/>
        <v>5843.6551139357871</v>
      </c>
      <c r="AD16" s="4">
        <f t="shared" si="52"/>
        <v>6632.1203739439334</v>
      </c>
      <c r="AE16" s="4">
        <f t="shared" si="52"/>
        <v>7481.5763401410622</v>
      </c>
      <c r="AF16" s="4">
        <f t="shared" si="52"/>
        <v>8395.9207415042347</v>
      </c>
      <c r="AG16" s="4">
        <f t="shared" si="52"/>
        <v>9379.2791581774727</v>
      </c>
      <c r="AH16" s="4">
        <f t="shared" si="52"/>
        <v>10436.017699504711</v>
      </c>
      <c r="AI16" s="4">
        <f t="shared" si="52"/>
        <v>11570.756366356165</v>
      </c>
      <c r="AJ16" s="4">
        <f t="shared" si="52"/>
        <v>12788.383133947435</v>
      </c>
      <c r="AK16" s="4">
        <f t="shared" si="52"/>
        <v>14094.068793238868</v>
      </c>
    </row>
    <row r="17" spans="1:63 16384:16384" s="9" customFormat="1" x14ac:dyDescent="0.25">
      <c r="A17" s="1" t="s">
        <v>40</v>
      </c>
      <c r="B17" s="1">
        <f>+B15-B16</f>
        <v>-555</v>
      </c>
      <c r="C17" s="1">
        <f>+C15-C16</f>
        <v>601</v>
      </c>
      <c r="D17" s="1">
        <f>+D15-D16</f>
        <v>838</v>
      </c>
      <c r="E17" s="1">
        <f>+E15-E16</f>
        <v>467</v>
      </c>
      <c r="F17" s="1">
        <f>+F15-F16</f>
        <v>903</v>
      </c>
      <c r="G17" s="1">
        <f>+G15-G16</f>
        <v>954</v>
      </c>
      <c r="H17" s="1">
        <f>+H15-H16</f>
        <v>1127</v>
      </c>
      <c r="I17" s="1">
        <f>+I15-I16</f>
        <v>997</v>
      </c>
      <c r="J17" s="1">
        <f>+J15-J16</f>
        <v>1020</v>
      </c>
      <c r="K17" s="1">
        <f>+K15-K16</f>
        <v>2885</v>
      </c>
      <c r="L17" s="1"/>
      <c r="M17" s="1"/>
      <c r="N17" s="1"/>
      <c r="O17" s="1"/>
      <c r="P17" s="1"/>
      <c r="Q17" s="1"/>
      <c r="R17" s="1"/>
      <c r="S17" s="9">
        <f>+S15-S16</f>
        <v>1351</v>
      </c>
      <c r="T17" s="9">
        <f>+T15-T16</f>
        <v>3981</v>
      </c>
      <c r="U17" s="9">
        <f t="shared" ref="U17:AK17" si="53">+U15-U16</f>
        <v>5320.3280000000068</v>
      </c>
      <c r="V17" s="9">
        <f t="shared" si="53"/>
        <v>6989.182864000014</v>
      </c>
      <c r="W17" s="9">
        <f t="shared" si="53"/>
        <v>8804.798666912011</v>
      </c>
      <c r="X17" s="9">
        <f t="shared" si="53"/>
        <v>10777.014670559312</v>
      </c>
      <c r="Y17" s="9">
        <f t="shared" si="53"/>
        <v>12916.259221841638</v>
      </c>
      <c r="Z17" s="9">
        <f t="shared" si="53"/>
        <v>15233.582988220287</v>
      </c>
      <c r="AA17" s="9">
        <f t="shared" si="53"/>
        <v>17740.694002990622</v>
      </c>
      <c r="AB17" s="9">
        <f t="shared" si="53"/>
        <v>20449.994616653497</v>
      </c>
      <c r="AC17" s="9">
        <f t="shared" si="53"/>
        <v>23374.620455743148</v>
      </c>
      <c r="AD17" s="9">
        <f t="shared" si="53"/>
        <v>26528.48149577573</v>
      </c>
      <c r="AE17" s="9">
        <f t="shared" si="53"/>
        <v>29926.305360564245</v>
      </c>
      <c r="AF17" s="9">
        <f t="shared" si="53"/>
        <v>33583.682966016939</v>
      </c>
      <c r="AG17" s="9">
        <f t="shared" si="53"/>
        <v>37517.116632709891</v>
      </c>
      <c r="AH17" s="9">
        <f t="shared" si="53"/>
        <v>41744.070798018845</v>
      </c>
      <c r="AI17" s="9">
        <f t="shared" si="53"/>
        <v>46283.025465424653</v>
      </c>
      <c r="AJ17" s="9">
        <f t="shared" si="53"/>
        <v>51153.532535789738</v>
      </c>
      <c r="AK17" s="9">
        <f t="shared" si="53"/>
        <v>56376.275172955473</v>
      </c>
      <c r="AL17" s="9">
        <f>+AK17*(1-$N$21)</f>
        <v>55812.512421225918</v>
      </c>
      <c r="AM17" s="9">
        <f t="shared" ref="AM17:BK17" si="54">+AL17*(1-$N$21)</f>
        <v>55254.387297013658</v>
      </c>
      <c r="AN17" s="9">
        <f t="shared" si="54"/>
        <v>54701.843424043524</v>
      </c>
      <c r="AO17" s="9">
        <f t="shared" si="54"/>
        <v>54154.824989803084</v>
      </c>
      <c r="AP17" s="9">
        <f t="shared" si="54"/>
        <v>53613.27673990505</v>
      </c>
      <c r="AQ17" s="9">
        <f t="shared" si="54"/>
        <v>53077.143972505997</v>
      </c>
      <c r="AR17" s="9">
        <f t="shared" si="54"/>
        <v>52546.372532780937</v>
      </c>
      <c r="AS17" s="9">
        <f t="shared" si="54"/>
        <v>52020.908807453125</v>
      </c>
      <c r="AT17" s="9">
        <f t="shared" si="54"/>
        <v>51500.699719378594</v>
      </c>
      <c r="AU17" s="9">
        <f t="shared" si="54"/>
        <v>50985.692722184809</v>
      </c>
      <c r="AV17" s="9">
        <f t="shared" si="54"/>
        <v>50475.835794962957</v>
      </c>
      <c r="AW17" s="9">
        <f t="shared" si="54"/>
        <v>49971.077437013329</v>
      </c>
      <c r="AX17" s="9">
        <f t="shared" si="54"/>
        <v>49471.366662643195</v>
      </c>
      <c r="AY17" s="9">
        <f t="shared" si="54"/>
        <v>48976.652996016761</v>
      </c>
      <c r="AZ17" s="9">
        <f t="shared" si="54"/>
        <v>48486.886466056596</v>
      </c>
      <c r="BA17" s="9">
        <f t="shared" si="54"/>
        <v>48002.01760139603</v>
      </c>
      <c r="BB17" s="9">
        <f t="shared" si="54"/>
        <v>47521.997425382069</v>
      </c>
      <c r="BC17" s="9">
        <f t="shared" si="54"/>
        <v>47046.777451128248</v>
      </c>
      <c r="BD17" s="9">
        <f t="shared" si="54"/>
        <v>46576.309676616962</v>
      </c>
      <c r="BE17" s="9">
        <f t="shared" si="54"/>
        <v>46110.546579850794</v>
      </c>
      <c r="BF17" s="9">
        <f t="shared" si="54"/>
        <v>45649.441114052286</v>
      </c>
      <c r="BG17" s="9">
        <f t="shared" si="54"/>
        <v>45192.946702911766</v>
      </c>
      <c r="BH17" s="9">
        <f t="shared" si="54"/>
        <v>44741.017235882646</v>
      </c>
      <c r="BI17" s="9">
        <f t="shared" si="54"/>
        <v>44293.607063523821</v>
      </c>
      <c r="BJ17" s="9">
        <f t="shared" si="54"/>
        <v>43850.670992888583</v>
      </c>
      <c r="BK17" s="9">
        <f t="shared" si="54"/>
        <v>43412.164282959697</v>
      </c>
    </row>
    <row r="18" spans="1:63 16384:16384" s="4" customFormat="1" x14ac:dyDescent="0.25">
      <c r="A18" t="s">
        <v>41</v>
      </c>
      <c r="B18">
        <f>+B17/B19</f>
        <v>-0.17811296534017973</v>
      </c>
      <c r="C18">
        <f>+C17/C19</f>
        <v>0.19256648510092919</v>
      </c>
      <c r="D18">
        <f>+D17/D19</f>
        <v>0.26781719399169063</v>
      </c>
      <c r="E18">
        <f>+E17/E19</f>
        <v>0.14891581632653061</v>
      </c>
      <c r="F18">
        <f>+F17/F19</f>
        <v>0.28767123287671231</v>
      </c>
      <c r="G18">
        <f>+G17/G19</f>
        <v>0.30353165765192491</v>
      </c>
      <c r="H18">
        <f>+H17/H19</f>
        <v>0.3581188433428662</v>
      </c>
      <c r="I18">
        <f>+I17/I19</f>
        <v>0.31680965999364474</v>
      </c>
      <c r="J18">
        <f>+J17/J19</f>
        <v>0.32629558541266795</v>
      </c>
      <c r="K18">
        <f>+K17/K19</f>
        <v>0.93973941368078173</v>
      </c>
      <c r="L18"/>
      <c r="M18"/>
      <c r="N18"/>
      <c r="O18"/>
      <c r="P18"/>
      <c r="Q18"/>
      <c r="R18"/>
      <c r="S18" s="4">
        <f>+S17/S19</f>
        <v>0.43225083986562152</v>
      </c>
      <c r="T18" s="4">
        <f>+T17/T19</f>
        <v>1.2662213740458015</v>
      </c>
      <c r="U18" s="4">
        <f t="shared" ref="U18:AK18" si="55">+U17/U19</f>
        <v>1.6922162849872795</v>
      </c>
      <c r="V18" s="4">
        <f t="shared" si="55"/>
        <v>2.2230225394402079</v>
      </c>
      <c r="W18" s="4">
        <f t="shared" si="55"/>
        <v>2.8005084818422428</v>
      </c>
      <c r="X18" s="4">
        <f t="shared" si="55"/>
        <v>3.4278036483967278</v>
      </c>
      <c r="Y18" s="4">
        <f t="shared" si="55"/>
        <v>4.1082249433338545</v>
      </c>
      <c r="Z18" s="4">
        <f t="shared" si="55"/>
        <v>4.8452872099937299</v>
      </c>
      <c r="AA18" s="4">
        <f t="shared" si="55"/>
        <v>5.6427143775415463</v>
      </c>
      <c r="AB18" s="4">
        <f t="shared" si="55"/>
        <v>6.5044512139483137</v>
      </c>
      <c r="AC18" s="4">
        <f t="shared" si="55"/>
        <v>7.4346757174755558</v>
      </c>
      <c r="AD18" s="4">
        <f t="shared" si="55"/>
        <v>8.4378121805902442</v>
      </c>
      <c r="AE18" s="4">
        <f t="shared" si="55"/>
        <v>9.5185449620115286</v>
      </c>
      <c r="AF18" s="4">
        <f t="shared" si="55"/>
        <v>10.681833004458314</v>
      </c>
      <c r="AG18" s="4">
        <f t="shared" si="55"/>
        <v>11.932925137630372</v>
      </c>
      <c r="AH18" s="4">
        <f t="shared" si="55"/>
        <v>13.277376208021261</v>
      </c>
      <c r="AI18" s="4">
        <f t="shared" si="55"/>
        <v>14.721064079333541</v>
      </c>
      <c r="AJ18" s="4">
        <f t="shared" si="55"/>
        <v>16.270207549551444</v>
      </c>
      <c r="AK18" s="4">
        <f t="shared" si="55"/>
        <v>17.931385233128331</v>
      </c>
      <c r="XFD18" s="4" t="s">
        <v>17</v>
      </c>
    </row>
    <row r="19" spans="1:63 16384:16384" s="4" customFormat="1" x14ac:dyDescent="0.25">
      <c r="A19" t="s">
        <v>2</v>
      </c>
      <c r="B19">
        <v>3116</v>
      </c>
      <c r="C19">
        <v>3121</v>
      </c>
      <c r="D19">
        <v>3129</v>
      </c>
      <c r="E19">
        <v>3136</v>
      </c>
      <c r="F19">
        <v>3139</v>
      </c>
      <c r="G19">
        <v>3143</v>
      </c>
      <c r="H19">
        <v>3147</v>
      </c>
      <c r="I19">
        <v>3147</v>
      </c>
      <c r="J19">
        <v>3126</v>
      </c>
      <c r="K19">
        <f>3070</f>
        <v>3070</v>
      </c>
      <c r="L19"/>
      <c r="M19"/>
      <c r="N19"/>
      <c r="O19"/>
      <c r="P19"/>
      <c r="Q19"/>
      <c r="R19"/>
      <c r="S19" s="4">
        <f>AVERAGE(B19:E19)</f>
        <v>3125.5</v>
      </c>
      <c r="T19" s="4">
        <f>AVERAGE(F19:I19)</f>
        <v>3144</v>
      </c>
      <c r="U19" s="4">
        <f>+T19</f>
        <v>3144</v>
      </c>
      <c r="V19" s="4">
        <f t="shared" ref="V19:AK19" si="56">+U19</f>
        <v>3144</v>
      </c>
      <c r="W19" s="4">
        <f t="shared" si="56"/>
        <v>3144</v>
      </c>
      <c r="X19" s="4">
        <f t="shared" si="56"/>
        <v>3144</v>
      </c>
      <c r="Y19" s="4">
        <f t="shared" si="56"/>
        <v>3144</v>
      </c>
      <c r="Z19" s="4">
        <f t="shared" si="56"/>
        <v>3144</v>
      </c>
      <c r="AA19" s="4">
        <f t="shared" si="56"/>
        <v>3144</v>
      </c>
      <c r="AB19" s="4">
        <f t="shared" si="56"/>
        <v>3144</v>
      </c>
      <c r="AC19" s="4">
        <f t="shared" si="56"/>
        <v>3144</v>
      </c>
      <c r="AD19" s="4">
        <f t="shared" si="56"/>
        <v>3144</v>
      </c>
      <c r="AE19" s="4">
        <f t="shared" si="56"/>
        <v>3144</v>
      </c>
      <c r="AF19" s="4">
        <f t="shared" si="56"/>
        <v>3144</v>
      </c>
      <c r="AG19" s="4">
        <f t="shared" si="56"/>
        <v>3144</v>
      </c>
      <c r="AH19" s="4">
        <f t="shared" si="56"/>
        <v>3144</v>
      </c>
      <c r="AI19" s="4">
        <f t="shared" si="56"/>
        <v>3144</v>
      </c>
      <c r="AJ19" s="4">
        <f t="shared" si="56"/>
        <v>3144</v>
      </c>
      <c r="AK19" s="4">
        <f t="shared" si="56"/>
        <v>3144</v>
      </c>
    </row>
    <row r="21" spans="1:63 16384:16384" x14ac:dyDescent="0.25">
      <c r="A21" t="s">
        <v>51</v>
      </c>
      <c r="B21" s="3"/>
      <c r="C21" s="3"/>
      <c r="D21" s="3"/>
      <c r="E21" s="3"/>
      <c r="F21" s="3">
        <f t="shared" ref="F21:J21" si="57">+F4/B4-1</f>
        <v>-6.4224308953842124E-2</v>
      </c>
      <c r="G21" s="3">
        <f t="shared" si="57"/>
        <v>-6.107328794553446E-3</v>
      </c>
      <c r="H21" s="3">
        <f t="shared" si="57"/>
        <v>-8.3537796471550019E-3</v>
      </c>
      <c r="I21" s="3">
        <f t="shared" si="57"/>
        <v>6.3964889345411446E-3</v>
      </c>
      <c r="J21" s="3">
        <f t="shared" si="57"/>
        <v>1.806258303417474E-2</v>
      </c>
      <c r="K21" s="3">
        <f>+K4/G4-1</f>
        <v>0.91097511836405753</v>
      </c>
      <c r="M21" t="s">
        <v>44</v>
      </c>
      <c r="N21" s="3">
        <v>0.01</v>
      </c>
      <c r="T21" s="3">
        <f>+T6/S6-1</f>
        <v>2.9890554584751206E-2</v>
      </c>
    </row>
    <row r="22" spans="1:63 16384:16384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M22" t="s">
        <v>43</v>
      </c>
      <c r="N22" s="3">
        <v>0.01</v>
      </c>
    </row>
    <row r="23" spans="1:63 16384:16384" x14ac:dyDescent="0.25">
      <c r="A23" t="s">
        <v>52</v>
      </c>
      <c r="B23" s="3">
        <f t="shared" ref="B23:J23" si="58">+B6/B$4</f>
        <v>0.13955825948948553</v>
      </c>
      <c r="C23" s="3">
        <f t="shared" si="58"/>
        <v>0.13413596315578694</v>
      </c>
      <c r="D23" s="3">
        <f t="shared" si="58"/>
        <v>0.1486447014838182</v>
      </c>
      <c r="E23" s="3">
        <f t="shared" si="58"/>
        <v>0.14058268745914651</v>
      </c>
      <c r="F23" s="3">
        <f t="shared" si="58"/>
        <v>0.14823190208327444</v>
      </c>
      <c r="G23" s="3">
        <f t="shared" si="58"/>
        <v>0.14390047345623047</v>
      </c>
      <c r="H23" s="3">
        <f t="shared" si="58"/>
        <v>0.15643593519882179</v>
      </c>
      <c r="I23" s="3">
        <f t="shared" si="58"/>
        <v>0.14212479703085132</v>
      </c>
      <c r="J23" s="3">
        <f t="shared" si="58"/>
        <v>0.15295979564637938</v>
      </c>
      <c r="K23" s="3">
        <f>+K6/K$4</f>
        <v>0.15541439886137504</v>
      </c>
      <c r="M23" t="s">
        <v>45</v>
      </c>
      <c r="N23" s="3">
        <v>-0.05</v>
      </c>
      <c r="S23" s="3">
        <f t="shared" ref="S23:T23" si="59">+S6/S$4</f>
        <v>0.14045172416020255</v>
      </c>
      <c r="T23" s="3">
        <f t="shared" si="59"/>
        <v>0.14720168260540931</v>
      </c>
    </row>
    <row r="24" spans="1:63 16384:16384" x14ac:dyDescent="0.25">
      <c r="A24" t="s">
        <v>53</v>
      </c>
      <c r="B24" s="3">
        <f t="shared" ref="B24:J27" si="60">-B7/B$4</f>
        <v>6.462108186747785E-2</v>
      </c>
      <c r="C24" s="3">
        <f t="shared" si="60"/>
        <v>6.0948137765318385E-2</v>
      </c>
      <c r="D24" s="3">
        <f t="shared" si="60"/>
        <v>5.8943801846010051E-2</v>
      </c>
      <c r="E24" s="3">
        <f t="shared" si="60"/>
        <v>5.7078158558222056E-2</v>
      </c>
      <c r="F24" s="3">
        <f t="shared" si="60"/>
        <v>6.3233174096164177E-2</v>
      </c>
      <c r="G24" s="3">
        <f t="shared" si="60"/>
        <v>5.7922836707968169E-2</v>
      </c>
      <c r="H24" s="3">
        <f t="shared" si="60"/>
        <v>6.1472754050073637E-2</v>
      </c>
      <c r="I24" s="3">
        <f t="shared" si="60"/>
        <v>5.6460218046856879E-2</v>
      </c>
      <c r="J24" s="3">
        <f t="shared" si="60"/>
        <v>6.4637938693913821E-2</v>
      </c>
      <c r="K24" s="3">
        <f>-K7/K$4</f>
        <v>6.1701875304753497E-2</v>
      </c>
      <c r="M24" t="s">
        <v>46</v>
      </c>
      <c r="N24" s="3">
        <v>9.5000000000000001E-2</v>
      </c>
      <c r="S24" s="3">
        <f t="shared" ref="S24:T27" si="61">-S7/S$4</f>
        <v>6.0331074927823601E-2</v>
      </c>
      <c r="T24" s="3">
        <f t="shared" si="61"/>
        <v>5.9535311709224756E-2</v>
      </c>
    </row>
    <row r="25" spans="1:63 16384:16384" x14ac:dyDescent="0.25">
      <c r="A25" t="s">
        <v>54</v>
      </c>
      <c r="B25" s="3">
        <f t="shared" si="60"/>
        <v>3.6317947361460122E-2</v>
      </c>
      <c r="C25" s="3">
        <f t="shared" si="60"/>
        <v>3.5417501001201439E-2</v>
      </c>
      <c r="D25" s="3">
        <f t="shared" si="60"/>
        <v>3.1224442107722863E-2</v>
      </c>
      <c r="E25" s="3">
        <f t="shared" si="60"/>
        <v>4.0573349519096087E-2</v>
      </c>
      <c r="F25" s="3">
        <f t="shared" si="60"/>
        <v>3.2959267320575518E-2</v>
      </c>
      <c r="G25" s="3">
        <f t="shared" si="60"/>
        <v>3.8430542963634531E-2</v>
      </c>
      <c r="H25" s="3">
        <f t="shared" si="60"/>
        <v>3.2106038291605299E-2</v>
      </c>
      <c r="I25" s="3">
        <f t="shared" si="60"/>
        <v>4.284388772906518E-2</v>
      </c>
      <c r="J25" s="3">
        <f t="shared" si="60"/>
        <v>3.559529098178587E-2</v>
      </c>
      <c r="K25" s="3">
        <f t="shared" ref="K25:K27" si="62">-K8/K$4</f>
        <v>3.8296806842292537E-2</v>
      </c>
      <c r="M25" t="s">
        <v>47</v>
      </c>
      <c r="N25" s="7">
        <f>NPV(N24,U17:BK17)</f>
        <v>269091.82035417616</v>
      </c>
      <c r="S25" s="3">
        <f t="shared" si="61"/>
        <v>3.6136641068533676E-2</v>
      </c>
      <c r="T25" s="3">
        <f t="shared" si="61"/>
        <v>3.6997600972756249E-2</v>
      </c>
    </row>
    <row r="26" spans="1:63 16384:16384" x14ac:dyDescent="0.25">
      <c r="A26" t="s">
        <v>55</v>
      </c>
      <c r="B26" s="3">
        <f t="shared" si="60"/>
        <v>1.8304457082396509E-2</v>
      </c>
      <c r="C26" s="3">
        <f t="shared" si="60"/>
        <v>1.5043051661994393E-2</v>
      </c>
      <c r="D26" s="3">
        <f t="shared" si="60"/>
        <v>1.6912022432527166E-2</v>
      </c>
      <c r="E26" s="3">
        <f t="shared" si="60"/>
        <v>1.4777290129797368E-2</v>
      </c>
      <c r="F26" s="3">
        <f t="shared" si="60"/>
        <v>1.7242841394126126E-2</v>
      </c>
      <c r="G26" s="3">
        <f t="shared" si="60"/>
        <v>1.4153319230381788E-2</v>
      </c>
      <c r="H26" s="3">
        <f t="shared" si="60"/>
        <v>1.5316642120765831E-2</v>
      </c>
      <c r="I26" s="3">
        <f t="shared" si="60"/>
        <v>1.4173045697054049E-2</v>
      </c>
      <c r="J26" s="3">
        <f t="shared" si="60"/>
        <v>1.5520879609062638E-2</v>
      </c>
      <c r="K26" s="3">
        <f t="shared" si="62"/>
        <v>1.4957631027529948E-2</v>
      </c>
      <c r="M26" t="s">
        <v>48</v>
      </c>
      <c r="N26" s="8">
        <f>+N25-main!L5+main!L6</f>
        <v>227051.82035417616</v>
      </c>
      <c r="S26" s="3">
        <f t="shared" si="61"/>
        <v>1.6179139566877006E-2</v>
      </c>
      <c r="T26" s="3">
        <f t="shared" si="61"/>
        <v>1.5136876006441223E-2</v>
      </c>
    </row>
    <row r="27" spans="1:63 16384:16384" x14ac:dyDescent="0.25">
      <c r="A27" t="s">
        <v>56</v>
      </c>
      <c r="B27" s="3">
        <f t="shared" si="60"/>
        <v>1.0263192699378389E-2</v>
      </c>
      <c r="C27" s="3">
        <f t="shared" si="60"/>
        <v>8.6854225070084109E-3</v>
      </c>
      <c r="D27" s="3">
        <f t="shared" si="60"/>
        <v>1.0778128286014722E-2</v>
      </c>
      <c r="E27" s="3">
        <f t="shared" si="60"/>
        <v>1.2326080866560837E-2</v>
      </c>
      <c r="F27" s="3">
        <f t="shared" si="60"/>
        <v>1.0289170930265427E-2</v>
      </c>
      <c r="G27" s="3">
        <f t="shared" si="60"/>
        <v>8.1847486652563712E-3</v>
      </c>
      <c r="H27" s="3">
        <f t="shared" si="60"/>
        <v>9.9852724594992632E-3</v>
      </c>
      <c r="I27" s="3">
        <f t="shared" si="60"/>
        <v>7.7708188355369986E-3</v>
      </c>
      <c r="J27" s="3">
        <f t="shared" si="60"/>
        <v>7.6077298978231896E-3</v>
      </c>
      <c r="K27" s="3">
        <f t="shared" si="62"/>
        <v>7.4458691899157896E-3</v>
      </c>
      <c r="M27" t="s">
        <v>49</v>
      </c>
      <c r="N27">
        <f>+N26/main!L3</f>
        <v>79.388748375586076</v>
      </c>
      <c r="S27" s="3">
        <f t="shared" si="61"/>
        <v>1.0540660987282744E-2</v>
      </c>
      <c r="T27" s="3">
        <f t="shared" si="61"/>
        <v>8.9585592691182759E-3</v>
      </c>
    </row>
    <row r="28" spans="1:63 16384:16384" x14ac:dyDescent="0.25">
      <c r="A28" t="s">
        <v>57</v>
      </c>
      <c r="B28" s="3">
        <f t="shared" ref="B28:J28" si="63">+B13/B4</f>
        <v>1.0051580478772649E-2</v>
      </c>
      <c r="C28" s="3">
        <f t="shared" si="63"/>
        <v>1.4041850220264317E-2</v>
      </c>
      <c r="D28" s="3">
        <f t="shared" si="63"/>
        <v>3.5839467227479847E-2</v>
      </c>
      <c r="E28" s="3">
        <f t="shared" si="63"/>
        <v>1.6341395088243532E-2</v>
      </c>
      <c r="F28" s="3">
        <f t="shared" si="63"/>
        <v>2.645786810639681E-2</v>
      </c>
      <c r="G28" s="3">
        <f t="shared" si="63"/>
        <v>2.8709579933514657E-2</v>
      </c>
      <c r="H28" s="3">
        <f t="shared" si="63"/>
        <v>3.755522827687776E-2</v>
      </c>
      <c r="I28" s="3">
        <f t="shared" si="63"/>
        <v>2.3498028299698447E-2</v>
      </c>
      <c r="J28" s="3">
        <f t="shared" si="63"/>
        <v>2.959795646379387E-2</v>
      </c>
      <c r="K28" s="3">
        <f>+K13/K4</f>
        <v>3.3012216496883275E-2</v>
      </c>
      <c r="M28" t="s">
        <v>50</v>
      </c>
      <c r="N28" s="3">
        <f>+N27/main!L2-1</f>
        <v>0.68912230586353362</v>
      </c>
      <c r="S28" s="3">
        <f t="shared" ref="S28:T28" si="64">+S13/S4</f>
        <v>1.8523661587945411E-2</v>
      </c>
      <c r="T28" s="3">
        <f t="shared" si="64"/>
        <v>2.8683164086890794E-2</v>
      </c>
    </row>
    <row r="29" spans="1:63 16384:16384" x14ac:dyDescent="0.25">
      <c r="A29" t="s">
        <v>58</v>
      </c>
      <c r="B29" s="3">
        <f t="shared" ref="B29:J29" si="65">+B16/B15</f>
        <v>-0.20652173913043478</v>
      </c>
      <c r="C29" s="3">
        <f t="shared" si="65"/>
        <v>0.23439490445859873</v>
      </c>
      <c r="D29" s="3">
        <f t="shared" si="65"/>
        <v>0.22693726937269373</v>
      </c>
      <c r="E29" s="3">
        <f t="shared" si="65"/>
        <v>0.15551537070524413</v>
      </c>
      <c r="F29" s="3">
        <f t="shared" si="65"/>
        <v>0.20580474934036938</v>
      </c>
      <c r="G29" s="3">
        <f t="shared" si="65"/>
        <v>0.28912071535022354</v>
      </c>
      <c r="H29" s="3">
        <f t="shared" si="65"/>
        <v>0.23851351351351352</v>
      </c>
      <c r="I29" s="3">
        <f t="shared" si="65"/>
        <v>0.16429170159262363</v>
      </c>
      <c r="J29" s="3">
        <f t="shared" si="65"/>
        <v>0.18725099601593626</v>
      </c>
      <c r="K29" s="3">
        <f>+K16/K15</f>
        <v>0.15072122460994997</v>
      </c>
      <c r="S29" s="3">
        <f t="shared" ref="S29:T29" si="66">+S16/S15</f>
        <v>0.31141692150866462</v>
      </c>
      <c r="T29" s="3">
        <f t="shared" si="66"/>
        <v>0.22729037267080746</v>
      </c>
    </row>
    <row r="31" spans="1:63 16384:16384" x14ac:dyDescent="0.25">
      <c r="A31" s="1" t="s">
        <v>59</v>
      </c>
      <c r="B31" s="1"/>
      <c r="C31" s="1"/>
      <c r="D31" s="1"/>
      <c r="E31" s="1"/>
      <c r="F31" s="1"/>
      <c r="G31" s="1"/>
      <c r="H31" s="1"/>
      <c r="I31" s="1"/>
      <c r="J31" s="1"/>
      <c r="K31" s="1">
        <f>+K33-K50</f>
        <v>42108</v>
      </c>
      <c r="L31" s="1"/>
      <c r="M31" s="1"/>
      <c r="N31" s="1"/>
      <c r="O31" s="1"/>
      <c r="P31" s="1"/>
      <c r="Q31" s="1"/>
      <c r="R31" s="1"/>
      <c r="S31" s="1"/>
      <c r="T31" s="9">
        <f>+T33-T50</f>
        <v>41008</v>
      </c>
      <c r="U31" s="9">
        <f>+T31+U17</f>
        <v>46328.328000000009</v>
      </c>
      <c r="V31" s="9">
        <f t="shared" ref="V31:AK31" si="67">+U31+V17</f>
        <v>53317.510864000025</v>
      </c>
      <c r="W31" s="9">
        <f t="shared" si="67"/>
        <v>62122.30953091204</v>
      </c>
      <c r="X31" s="9">
        <f t="shared" si="67"/>
        <v>72899.324201471347</v>
      </c>
      <c r="Y31" s="9">
        <f t="shared" si="67"/>
        <v>85815.583423312986</v>
      </c>
      <c r="Z31" s="9">
        <f t="shared" si="67"/>
        <v>101049.16641153327</v>
      </c>
      <c r="AA31" s="9">
        <f t="shared" si="67"/>
        <v>118789.86041452389</v>
      </c>
      <c r="AB31" s="9">
        <f t="shared" si="67"/>
        <v>139239.8550311774</v>
      </c>
      <c r="AC31" s="9">
        <f t="shared" si="67"/>
        <v>162614.47548692056</v>
      </c>
      <c r="AD31" s="9">
        <f t="shared" si="67"/>
        <v>189142.95698269628</v>
      </c>
      <c r="AE31" s="9">
        <f t="shared" si="67"/>
        <v>219069.26234326052</v>
      </c>
      <c r="AF31" s="9">
        <f t="shared" si="67"/>
        <v>252652.94530927745</v>
      </c>
      <c r="AG31" s="9">
        <f t="shared" si="67"/>
        <v>290170.06194198737</v>
      </c>
      <c r="AH31" s="9">
        <f t="shared" si="67"/>
        <v>331914.1327400062</v>
      </c>
      <c r="AI31" s="9">
        <f t="shared" si="67"/>
        <v>378197.15820543084</v>
      </c>
      <c r="AJ31" s="9">
        <f t="shared" si="67"/>
        <v>429350.69074122061</v>
      </c>
      <c r="AK31" s="9">
        <f t="shared" si="67"/>
        <v>485726.96591417608</v>
      </c>
    </row>
    <row r="32" spans="1:63 16384:16384" x14ac:dyDescent="0.25"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x14ac:dyDescent="0.25">
      <c r="A33" t="s">
        <v>60</v>
      </c>
      <c r="K33">
        <f>11627+16156+7572+11964</f>
        <v>47319</v>
      </c>
      <c r="T33" s="4">
        <f>10126+16656+7993+11386</f>
        <v>46161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x14ac:dyDescent="0.25">
      <c r="A34" t="s">
        <v>61</v>
      </c>
      <c r="K34">
        <v>1039</v>
      </c>
      <c r="T34" s="4">
        <v>1057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x14ac:dyDescent="0.25">
      <c r="A35" t="s">
        <v>77</v>
      </c>
      <c r="K35">
        <v>2978</v>
      </c>
      <c r="T35" s="4">
        <v>2859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x14ac:dyDescent="0.25">
      <c r="A36" t="s">
        <v>64</v>
      </c>
      <c r="K36">
        <v>287</v>
      </c>
      <c r="T36" s="4">
        <v>388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x14ac:dyDescent="0.25">
      <c r="A37" t="s">
        <v>63</v>
      </c>
      <c r="K37">
        <v>9721</v>
      </c>
      <c r="T37" s="4">
        <v>9586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x14ac:dyDescent="0.25">
      <c r="A38" t="s">
        <v>62</v>
      </c>
      <c r="K38">
        <v>1916</v>
      </c>
      <c r="T38" s="4">
        <v>2202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x14ac:dyDescent="0.25">
      <c r="A39" t="s">
        <v>65</v>
      </c>
      <c r="K39">
        <v>481</v>
      </c>
      <c r="T39" s="4">
        <v>298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x14ac:dyDescent="0.25">
      <c r="A40" t="s">
        <v>66</v>
      </c>
      <c r="K40">
        <v>132</v>
      </c>
      <c r="T40" s="4">
        <v>182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x14ac:dyDescent="0.25">
      <c r="A41" t="s">
        <v>67</v>
      </c>
      <c r="K41">
        <v>10758</v>
      </c>
      <c r="T41" s="4">
        <v>9864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x14ac:dyDescent="0.25">
      <c r="A42" t="s">
        <v>68</v>
      </c>
      <c r="K42">
        <v>812</v>
      </c>
      <c r="T42" s="4">
        <v>1397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x14ac:dyDescent="0.25">
      <c r="A43" t="s">
        <v>69</v>
      </c>
      <c r="K43">
        <f>920+2990</f>
        <v>3910</v>
      </c>
      <c r="T43" s="4">
        <f>977+2814</f>
        <v>3791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x14ac:dyDescent="0.25">
      <c r="A44" t="s">
        <v>70</v>
      </c>
      <c r="K44">
        <v>5289</v>
      </c>
      <c r="T44" s="4">
        <v>5572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x14ac:dyDescent="0.25">
      <c r="A45" t="s">
        <v>71</v>
      </c>
      <c r="K45">
        <v>3163</v>
      </c>
      <c r="T45" s="4">
        <v>2938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x14ac:dyDescent="0.25">
      <c r="A46" t="s">
        <v>72</v>
      </c>
      <c r="K46">
        <v>219</v>
      </c>
      <c r="T46" s="4">
        <v>246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x14ac:dyDescent="0.25">
      <c r="A47" t="s">
        <v>73</v>
      </c>
      <c r="K47">
        <v>1645</v>
      </c>
      <c r="T47" s="4">
        <v>2045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x14ac:dyDescent="0.25">
      <c r="A48" t="s">
        <v>74</v>
      </c>
      <c r="K48">
        <f>SUM(K33:K47)</f>
        <v>89669</v>
      </c>
      <c r="T48" s="4">
        <f>SUM(T33:T47)</f>
        <v>88586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50" spans="1:20" x14ac:dyDescent="0.25">
      <c r="A50" t="s">
        <v>5</v>
      </c>
      <c r="K50">
        <f>771+4440</f>
        <v>5211</v>
      </c>
      <c r="T50">
        <f>709+4444</f>
        <v>5153</v>
      </c>
    </row>
    <row r="51" spans="1:20" x14ac:dyDescent="0.25">
      <c r="A51" t="s">
        <v>76</v>
      </c>
      <c r="K51">
        <v>25078</v>
      </c>
      <c r="T51">
        <v>23404</v>
      </c>
    </row>
    <row r="52" spans="1:20" x14ac:dyDescent="0.25">
      <c r="A52" t="s">
        <v>75</v>
      </c>
      <c r="K52">
        <v>4484</v>
      </c>
      <c r="T52">
        <v>4454</v>
      </c>
    </row>
    <row r="53" spans="1:20" x14ac:dyDescent="0.25">
      <c r="A53" t="s">
        <v>46</v>
      </c>
      <c r="K53">
        <f>294+97</f>
        <v>391</v>
      </c>
      <c r="T53">
        <f>295+136</f>
        <v>431</v>
      </c>
    </row>
    <row r="54" spans="1:20" x14ac:dyDescent="0.25">
      <c r="A54" t="s">
        <v>78</v>
      </c>
      <c r="K54">
        <v>1009</v>
      </c>
      <c r="T54">
        <v>1030</v>
      </c>
    </row>
    <row r="55" spans="1:20" x14ac:dyDescent="0.25">
      <c r="A55" t="s">
        <v>65</v>
      </c>
      <c r="K55">
        <v>68</v>
      </c>
      <c r="T55">
        <v>228</v>
      </c>
    </row>
    <row r="56" spans="1:20" x14ac:dyDescent="0.25">
      <c r="A56" t="s">
        <v>79</v>
      </c>
      <c r="K56">
        <v>5778</v>
      </c>
      <c r="T56">
        <v>6132</v>
      </c>
    </row>
    <row r="57" spans="1:20" x14ac:dyDescent="0.25">
      <c r="A57" t="s">
        <v>80</v>
      </c>
      <c r="K57">
        <f>1079+124</f>
        <v>1203</v>
      </c>
      <c r="T57">
        <f>1092+1926</f>
        <v>3018</v>
      </c>
    </row>
    <row r="58" spans="1:20" x14ac:dyDescent="0.25">
      <c r="A58" t="s">
        <v>66</v>
      </c>
      <c r="K58">
        <v>0</v>
      </c>
      <c r="T58">
        <v>71</v>
      </c>
    </row>
    <row r="59" spans="1:20" x14ac:dyDescent="0.25">
      <c r="A59" t="s">
        <v>81</v>
      </c>
      <c r="K59">
        <v>3373</v>
      </c>
      <c r="T59">
        <v>1466</v>
      </c>
    </row>
    <row r="60" spans="1:20" x14ac:dyDescent="0.25">
      <c r="A60" t="s">
        <v>72</v>
      </c>
      <c r="K60">
        <v>1252</v>
      </c>
      <c r="T60">
        <v>1305</v>
      </c>
    </row>
    <row r="61" spans="1:20" x14ac:dyDescent="0.25">
      <c r="A61" t="s">
        <v>73</v>
      </c>
      <c r="K61">
        <v>2197</v>
      </c>
      <c r="T61">
        <v>150</v>
      </c>
    </row>
    <row r="62" spans="1:20" x14ac:dyDescent="0.25">
      <c r="A62" t="s">
        <v>82</v>
      </c>
      <c r="K62">
        <f>SUM(K50:K61)</f>
        <v>50044</v>
      </c>
      <c r="T62">
        <f>SUM(T50:T61)</f>
        <v>46842</v>
      </c>
    </row>
    <row r="64" spans="1:20" x14ac:dyDescent="0.25">
      <c r="A64" t="s">
        <v>83</v>
      </c>
      <c r="K64">
        <f>+K48-K62</f>
        <v>39625</v>
      </c>
      <c r="S64" t="s">
        <v>17</v>
      </c>
      <c r="T64">
        <f>+T48-T62</f>
        <v>41744</v>
      </c>
    </row>
    <row r="65" spans="1:20" x14ac:dyDescent="0.25">
      <c r="A65" t="s">
        <v>84</v>
      </c>
      <c r="K65">
        <f>+K62+K64</f>
        <v>89669</v>
      </c>
      <c r="T65">
        <f>+T62+T64</f>
        <v>88586</v>
      </c>
    </row>
    <row r="67" spans="1:20" x14ac:dyDescent="0.25">
      <c r="A67" t="s">
        <v>85</v>
      </c>
      <c r="K67" s="3">
        <f>+K17/K48</f>
        <v>3.217388395097525E-2</v>
      </c>
      <c r="T67" s="3">
        <f>+T17/T48</f>
        <v>4.493938094055494E-2</v>
      </c>
    </row>
    <row r="68" spans="1:20" x14ac:dyDescent="0.25">
      <c r="A68" t="s">
        <v>86</v>
      </c>
      <c r="K68" s="3">
        <f>+K17/K64</f>
        <v>7.2807570977917985E-2</v>
      </c>
      <c r="T68" s="3">
        <f>+T17/T64</f>
        <v>9.5366998850134152E-2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2024-10-06T13:42:47Z</dcterms:created>
  <dcterms:modified xsi:type="dcterms:W3CDTF">2024-10-06T15:26:03Z</dcterms:modified>
</cp:coreProperties>
</file>