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203" documentId="13_ncr:1_{481F7D03-91ED-486E-ACF3-2DE9CE17409D}" xr6:coauthVersionLast="47" xr6:coauthVersionMax="47" xr10:uidLastSave="{7751D477-34E0-4368-9E72-69F67166D7C5}"/>
  <bookViews>
    <workbookView xWindow="-108" yWindow="-108" windowWidth="23256" windowHeight="12456" activeTab="1" xr2:uid="{AFD58F0E-552A-4618-A5BD-8843CA5E3253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2" l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C11" i="2"/>
  <c r="AA10" i="2"/>
  <c r="AB10" i="2"/>
  <c r="AC10" i="2"/>
  <c r="AD3" i="2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C3" i="2"/>
  <c r="AC5" i="2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C7" i="2" l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C6" i="2"/>
  <c r="AC2" i="2"/>
  <c r="AD2" i="2" s="1"/>
  <c r="AE2" i="2" s="1"/>
  <c r="AF2" i="2" s="1"/>
  <c r="AA12" i="2"/>
  <c r="Z12" i="2"/>
  <c r="AB12" i="2"/>
  <c r="AC35" i="2"/>
  <c r="O37" i="2"/>
  <c r="O26" i="2"/>
  <c r="O22" i="2"/>
  <c r="O21" i="2"/>
  <c r="O20" i="2"/>
  <c r="O19" i="2"/>
  <c r="O8" i="2"/>
  <c r="O4" i="2"/>
  <c r="O9" i="2" s="1"/>
  <c r="O12" i="2" s="1"/>
  <c r="AA35" i="2"/>
  <c r="AB35" i="2"/>
  <c r="Z51" i="2"/>
  <c r="Z54" i="2" s="1"/>
  <c r="Z39" i="2"/>
  <c r="Z37" i="2"/>
  <c r="Z46" i="2" s="1"/>
  <c r="AB51" i="2"/>
  <c r="AB54" i="2" s="1"/>
  <c r="AA51" i="2"/>
  <c r="AA54" i="2" s="1"/>
  <c r="AA39" i="2"/>
  <c r="AA37" i="2"/>
  <c r="AA32" i="2" s="1"/>
  <c r="AB37" i="2"/>
  <c r="AB39" i="2"/>
  <c r="X51" i="2"/>
  <c r="X54" i="2" s="1"/>
  <c r="X39" i="2"/>
  <c r="X37" i="2"/>
  <c r="X32" i="2" s="1"/>
  <c r="Y51" i="2"/>
  <c r="Y54" i="2" s="1"/>
  <c r="Y39" i="2"/>
  <c r="Y37" i="2"/>
  <c r="Y46" i="2" s="1"/>
  <c r="Y56" i="2" l="1"/>
  <c r="Y57" i="2" s="1"/>
  <c r="O14" i="2"/>
  <c r="O15" i="2" s="1"/>
  <c r="O24" i="2"/>
  <c r="Z56" i="2"/>
  <c r="Z57" i="2" s="1"/>
  <c r="O18" i="2"/>
  <c r="O23" i="2"/>
  <c r="AB46" i="2"/>
  <c r="AB56" i="2" s="1"/>
  <c r="AB57" i="2" s="1"/>
  <c r="X46" i="2"/>
  <c r="X56" i="2" s="1"/>
  <c r="X57" i="2" s="1"/>
  <c r="AA46" i="2"/>
  <c r="AA56" i="2" s="1"/>
  <c r="AA57" i="2" s="1"/>
  <c r="Y32" i="2"/>
  <c r="Y33" i="2" s="1"/>
  <c r="Z32" i="2"/>
  <c r="AB32" i="2"/>
  <c r="AB33" i="2" l="1"/>
  <c r="Z33" i="2"/>
  <c r="AA33" i="2"/>
  <c r="S1" i="2"/>
  <c r="T1" i="2" s="1"/>
  <c r="U1" i="2" s="1"/>
  <c r="V1" i="2" s="1"/>
  <c r="W1" i="2" s="1"/>
  <c r="X1" i="2" s="1"/>
  <c r="Y1" i="2" s="1"/>
  <c r="M51" i="2"/>
  <c r="M54" i="2" s="1"/>
  <c r="M39" i="2"/>
  <c r="M37" i="2"/>
  <c r="N37" i="2"/>
  <c r="S7" i="2" s="1"/>
  <c r="N51" i="2"/>
  <c r="N54" i="2" s="1"/>
  <c r="N39" i="2"/>
  <c r="Z21" i="2"/>
  <c r="Z20" i="2"/>
  <c r="Z19" i="2"/>
  <c r="L26" i="2"/>
  <c r="K26" i="2"/>
  <c r="J26" i="2"/>
  <c r="L21" i="2"/>
  <c r="K21" i="2"/>
  <c r="J21" i="2"/>
  <c r="H21" i="2"/>
  <c r="G21" i="2"/>
  <c r="F21" i="2"/>
  <c r="L20" i="2"/>
  <c r="K20" i="2"/>
  <c r="J20" i="2"/>
  <c r="H20" i="2"/>
  <c r="G20" i="2"/>
  <c r="F20" i="2"/>
  <c r="L19" i="2"/>
  <c r="K19" i="2"/>
  <c r="J19" i="2"/>
  <c r="H19" i="2"/>
  <c r="G19" i="2"/>
  <c r="F19" i="2"/>
  <c r="N21" i="2"/>
  <c r="N20" i="2"/>
  <c r="N19" i="2"/>
  <c r="M46" i="2" l="1"/>
  <c r="M56" i="2" s="1"/>
  <c r="M57" i="2" s="1"/>
  <c r="N46" i="2"/>
  <c r="N56" i="2" s="1"/>
  <c r="N57" i="2" s="1"/>
  <c r="I2" i="2" l="1"/>
  <c r="I3" i="2"/>
  <c r="I5" i="2"/>
  <c r="I6" i="2"/>
  <c r="I7" i="2"/>
  <c r="AB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Z8" i="2"/>
  <c r="Z4" i="2"/>
  <c r="Z18" i="2" s="1"/>
  <c r="M13" i="2"/>
  <c r="AB13" i="2" s="1"/>
  <c r="M10" i="2"/>
  <c r="M7" i="2"/>
  <c r="M6" i="2"/>
  <c r="M5" i="2"/>
  <c r="M3" i="2"/>
  <c r="AB3" i="2" s="1"/>
  <c r="M2" i="2"/>
  <c r="N26" i="2"/>
  <c r="I21" i="2" l="1"/>
  <c r="I20" i="2"/>
  <c r="I19" i="2"/>
  <c r="AB6" i="2"/>
  <c r="M20" i="2"/>
  <c r="AB7" i="2"/>
  <c r="M21" i="2"/>
  <c r="AB2" i="2"/>
  <c r="M26" i="2"/>
  <c r="AB5" i="2"/>
  <c r="M19" i="2"/>
  <c r="I4" i="2"/>
  <c r="I18" i="2" s="1"/>
  <c r="I8" i="2"/>
  <c r="Z9" i="2"/>
  <c r="AB8" i="2" l="1"/>
  <c r="Z22" i="2"/>
  <c r="AB4" i="2"/>
  <c r="AB18" i="2" s="1"/>
  <c r="AB19" i="2"/>
  <c r="AB21" i="2"/>
  <c r="AB20" i="2"/>
  <c r="I9" i="2"/>
  <c r="I12" i="2" s="1"/>
  <c r="I14" i="2" s="1"/>
  <c r="L6" i="1"/>
  <c r="AA16" i="2"/>
  <c r="AA13" i="2"/>
  <c r="AA7" i="2"/>
  <c r="AA6" i="2"/>
  <c r="AA5" i="2"/>
  <c r="AA3" i="2"/>
  <c r="AA2" i="2"/>
  <c r="AA26" i="2" s="1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G10" i="2"/>
  <c r="M8" i="2"/>
  <c r="F10" i="2"/>
  <c r="F8" i="2"/>
  <c r="F4" i="2"/>
  <c r="F18" i="2" s="1"/>
  <c r="K8" i="2"/>
  <c r="K4" i="2"/>
  <c r="K18" i="2" s="1"/>
  <c r="G8" i="2"/>
  <c r="G4" i="2"/>
  <c r="G18" i="2" s="1"/>
  <c r="H8" i="2"/>
  <c r="H4" i="2"/>
  <c r="H18" i="2" s="1"/>
  <c r="L8" i="2"/>
  <c r="L4" i="2"/>
  <c r="L18" i="2" s="1"/>
  <c r="N8" i="2"/>
  <c r="J8" i="2"/>
  <c r="N4" i="2"/>
  <c r="N18" i="2" s="1"/>
  <c r="J4" i="2"/>
  <c r="J18" i="2" s="1"/>
  <c r="L5" i="1"/>
  <c r="L8" i="1" s="1"/>
  <c r="L4" i="1"/>
  <c r="AC4" i="2" l="1"/>
  <c r="AC20" i="2"/>
  <c r="Z14" i="2"/>
  <c r="Z24" i="2"/>
  <c r="AB9" i="2"/>
  <c r="AA19" i="2"/>
  <c r="AC19" i="2"/>
  <c r="AC8" i="2"/>
  <c r="AA21" i="2"/>
  <c r="AC21" i="2"/>
  <c r="AD26" i="2"/>
  <c r="AC26" i="2"/>
  <c r="I22" i="2"/>
  <c r="AA20" i="2"/>
  <c r="AB26" i="2"/>
  <c r="AA8" i="2"/>
  <c r="AA4" i="2"/>
  <c r="AA18" i="2" s="1"/>
  <c r="M4" i="2"/>
  <c r="F9" i="2"/>
  <c r="F12" i="2" s="1"/>
  <c r="F14" i="2" s="1"/>
  <c r="J9" i="2"/>
  <c r="J12" i="2" s="1"/>
  <c r="J14" i="2" s="1"/>
  <c r="N9" i="2"/>
  <c r="N12" i="2" s="1"/>
  <c r="N14" i="2" s="1"/>
  <c r="G9" i="2"/>
  <c r="G12" i="2" s="1"/>
  <c r="G14" i="2" s="1"/>
  <c r="K9" i="2"/>
  <c r="K12" i="2" s="1"/>
  <c r="K14" i="2" s="1"/>
  <c r="H9" i="2"/>
  <c r="H12" i="2" s="1"/>
  <c r="H14" i="2" s="1"/>
  <c r="L9" i="2"/>
  <c r="L12" i="2" s="1"/>
  <c r="L14" i="2" s="1"/>
  <c r="Z60" i="2" l="1"/>
  <c r="Z59" i="2"/>
  <c r="L11" i="1"/>
  <c r="AD8" i="2"/>
  <c r="AD4" i="2"/>
  <c r="AD18" i="2" s="1"/>
  <c r="Z15" i="2"/>
  <c r="Z31" i="2"/>
  <c r="Z23" i="2"/>
  <c r="AB14" i="2"/>
  <c r="AB24" i="2"/>
  <c r="I15" i="2"/>
  <c r="I24" i="2"/>
  <c r="AB22" i="2"/>
  <c r="AC9" i="2"/>
  <c r="AC12" i="2" s="1"/>
  <c r="H22" i="2"/>
  <c r="AD20" i="2"/>
  <c r="AE26" i="2"/>
  <c r="G22" i="2"/>
  <c r="N22" i="2"/>
  <c r="K22" i="2"/>
  <c r="J22" i="2"/>
  <c r="AD21" i="2"/>
  <c r="F22" i="2"/>
  <c r="M9" i="2"/>
  <c r="M12" i="2" s="1"/>
  <c r="M14" i="2" s="1"/>
  <c r="M18" i="2"/>
  <c r="L22" i="2"/>
  <c r="AA9" i="2"/>
  <c r="AB60" i="2" l="1"/>
  <c r="AB59" i="2"/>
  <c r="AD9" i="2"/>
  <c r="AD22" i="2" s="1"/>
  <c r="AE20" i="2"/>
  <c r="AE4" i="2"/>
  <c r="AE18" i="2" s="1"/>
  <c r="AE19" i="2"/>
  <c r="AD19" i="2"/>
  <c r="I23" i="2"/>
  <c r="AB15" i="2"/>
  <c r="AB31" i="2"/>
  <c r="AC22" i="2"/>
  <c r="N24" i="2"/>
  <c r="J15" i="2"/>
  <c r="J24" i="2"/>
  <c r="G15" i="2"/>
  <c r="G24" i="2"/>
  <c r="H15" i="2"/>
  <c r="H24" i="2"/>
  <c r="L15" i="2"/>
  <c r="L24" i="2"/>
  <c r="F23" i="2"/>
  <c r="F24" i="2"/>
  <c r="K23" i="2"/>
  <c r="K24" i="2"/>
  <c r="AA24" i="2"/>
  <c r="AA22" i="2"/>
  <c r="M22" i="2"/>
  <c r="F15" i="2"/>
  <c r="AF26" i="2"/>
  <c r="AE8" i="2"/>
  <c r="AE21" i="2"/>
  <c r="AE9" i="2" l="1"/>
  <c r="AE22" i="2" s="1"/>
  <c r="AG2" i="2"/>
  <c r="AF19" i="2"/>
  <c r="AF4" i="2"/>
  <c r="AF18" i="2" s="1"/>
  <c r="N15" i="2"/>
  <c r="N60" i="2"/>
  <c r="N59" i="2"/>
  <c r="AA14" i="2"/>
  <c r="L23" i="2"/>
  <c r="N23" i="2"/>
  <c r="J23" i="2"/>
  <c r="K15" i="2"/>
  <c r="G23" i="2"/>
  <c r="M23" i="2"/>
  <c r="M24" i="2"/>
  <c r="H23" i="2"/>
  <c r="AF21" i="2"/>
  <c r="AF20" i="2"/>
  <c r="AA31" i="2" l="1"/>
  <c r="AA60" i="2"/>
  <c r="AA59" i="2"/>
  <c r="AG26" i="2"/>
  <c r="AH2" i="2"/>
  <c r="AF8" i="2"/>
  <c r="AF9" i="2" s="1"/>
  <c r="AF22" i="2" s="1"/>
  <c r="AG4" i="2"/>
  <c r="AG18" i="2" s="1"/>
  <c r="AG19" i="2"/>
  <c r="AG20" i="2"/>
  <c r="AG21" i="2"/>
  <c r="AA15" i="2"/>
  <c r="AA23" i="2"/>
  <c r="M15" i="2"/>
  <c r="AI2" i="2" l="1"/>
  <c r="AH26" i="2"/>
  <c r="AG8" i="2"/>
  <c r="AG9" i="2" s="1"/>
  <c r="AG22" i="2" s="1"/>
  <c r="AI26" i="2"/>
  <c r="AH4" i="2"/>
  <c r="AH18" i="2" s="1"/>
  <c r="AH21" i="2"/>
  <c r="AH19" i="2"/>
  <c r="AJ2" i="2" l="1"/>
  <c r="AH8" i="2"/>
  <c r="AH9" i="2" s="1"/>
  <c r="AH22" i="2" s="1"/>
  <c r="AH20" i="2"/>
  <c r="AI19" i="2"/>
  <c r="AI4" i="2"/>
  <c r="AI18" i="2" s="1"/>
  <c r="AI21" i="2"/>
  <c r="AI20" i="2"/>
  <c r="AK2" i="2" l="1"/>
  <c r="AK26" i="2" s="1"/>
  <c r="AJ19" i="2"/>
  <c r="AJ26" i="2"/>
  <c r="AI8" i="2"/>
  <c r="AI9" i="2" s="1"/>
  <c r="AI22" i="2" s="1"/>
  <c r="AJ4" i="2"/>
  <c r="AJ18" i="2" s="1"/>
  <c r="AJ21" i="2"/>
  <c r="AJ20" i="2"/>
  <c r="AL2" i="2" l="1"/>
  <c r="AL26" i="2" s="1"/>
  <c r="AJ8" i="2"/>
  <c r="AJ9" i="2" s="1"/>
  <c r="AJ22" i="2" s="1"/>
  <c r="AK4" i="2"/>
  <c r="AK18" i="2" s="1"/>
  <c r="AK19" i="2"/>
  <c r="AK21" i="2"/>
  <c r="AK20" i="2"/>
  <c r="AM2" i="2" l="1"/>
  <c r="AK8" i="2"/>
  <c r="AK9" i="2" s="1"/>
  <c r="AK22" i="2" s="1"/>
  <c r="AL21" i="2"/>
  <c r="AM26" i="2"/>
  <c r="AL4" i="2"/>
  <c r="AL18" i="2" s="1"/>
  <c r="AL20" i="2"/>
  <c r="AN2" i="2" l="1"/>
  <c r="AN26" i="2" s="1"/>
  <c r="AL8" i="2"/>
  <c r="AL9" i="2" s="1"/>
  <c r="AL22" i="2" s="1"/>
  <c r="AL19" i="2"/>
  <c r="AM21" i="2"/>
  <c r="AM4" i="2"/>
  <c r="AM18" i="2" s="1"/>
  <c r="AM19" i="2"/>
  <c r="AO2" i="2" l="1"/>
  <c r="AO26" i="2" s="1"/>
  <c r="AM8" i="2"/>
  <c r="AM9" i="2" s="1"/>
  <c r="AM22" i="2" s="1"/>
  <c r="AM20" i="2"/>
  <c r="AN4" i="2"/>
  <c r="AN18" i="2" s="1"/>
  <c r="AN19" i="2"/>
  <c r="AN20" i="2"/>
  <c r="AN21" i="2"/>
  <c r="AP2" i="2" l="1"/>
  <c r="AP26" i="2" s="1"/>
  <c r="AN8" i="2"/>
  <c r="AN9" i="2" s="1"/>
  <c r="AN22" i="2" s="1"/>
  <c r="AO4" i="2"/>
  <c r="AO18" i="2" s="1"/>
  <c r="AO20" i="2"/>
  <c r="AO19" i="2"/>
  <c r="AQ2" i="2" l="1"/>
  <c r="AQ26" i="2" s="1"/>
  <c r="AO8" i="2"/>
  <c r="AO9" i="2" s="1"/>
  <c r="AO22" i="2" s="1"/>
  <c r="AO21" i="2"/>
  <c r="AP4" i="2"/>
  <c r="AP18" i="2" s="1"/>
  <c r="AP21" i="2"/>
  <c r="AP20" i="2"/>
  <c r="AP19" i="2"/>
  <c r="AR2" i="2" l="1"/>
  <c r="AR26" i="2" s="1"/>
  <c r="AP8" i="2"/>
  <c r="AP9" i="2" s="1"/>
  <c r="AP22" i="2" s="1"/>
  <c r="AQ21" i="2"/>
  <c r="AQ4" i="2"/>
  <c r="AQ18" i="2" s="1"/>
  <c r="AQ20" i="2"/>
  <c r="AC18" i="2"/>
  <c r="AS2" i="2" l="1"/>
  <c r="AQ8" i="2"/>
  <c r="AQ9" i="2" s="1"/>
  <c r="AQ22" i="2" s="1"/>
  <c r="AQ19" i="2"/>
  <c r="AR4" i="2"/>
  <c r="AR18" i="2" s="1"/>
  <c r="AR21" i="2"/>
  <c r="AR20" i="2"/>
  <c r="AS26" i="2" l="1"/>
  <c r="AR8" i="2"/>
  <c r="AR9" i="2" s="1"/>
  <c r="AR22" i="2" s="1"/>
  <c r="AR19" i="2"/>
  <c r="AS20" i="2"/>
  <c r="AS4" i="2"/>
  <c r="AS18" i="2" s="1"/>
  <c r="AS21" i="2"/>
  <c r="AS8" i="2"/>
  <c r="AS9" i="2" l="1"/>
  <c r="AS22" i="2" s="1"/>
  <c r="AS19" i="2"/>
  <c r="AC13" i="2" l="1"/>
  <c r="AC24" i="2" l="1"/>
  <c r="AC14" i="2"/>
  <c r="AC32" i="2" s="1"/>
  <c r="AD10" i="2" s="1"/>
  <c r="AD12" i="2" l="1"/>
  <c r="AC33" i="2"/>
  <c r="AC31" i="2"/>
  <c r="AC15" i="2"/>
  <c r="AD13" i="2" l="1"/>
  <c r="AD24" i="2" l="1"/>
  <c r="AD14" i="2"/>
  <c r="AD32" i="2" l="1"/>
  <c r="AE10" i="2" s="1"/>
  <c r="AD15" i="2"/>
  <c r="AD31" i="2" l="1"/>
  <c r="AD33" i="2"/>
  <c r="AE12" i="2" l="1"/>
  <c r="AE13" i="2" s="1"/>
  <c r="AE24" i="2" l="1"/>
  <c r="AE14" i="2"/>
  <c r="AE15" i="2" s="1"/>
  <c r="AE32" i="2" l="1"/>
  <c r="AF10" i="2" s="1"/>
  <c r="AF12" i="2" l="1"/>
  <c r="AF13" i="2" s="1"/>
  <c r="AF24" i="2" s="1"/>
  <c r="AE31" i="2"/>
  <c r="AE33" i="2"/>
  <c r="AF14" i="2" l="1"/>
  <c r="AF15" i="2" s="1"/>
  <c r="AF32" i="2" l="1"/>
  <c r="AG10" i="2" l="1"/>
  <c r="AG12" i="2" s="1"/>
  <c r="AF31" i="2"/>
  <c r="AF33" i="2"/>
  <c r="AG13" i="2" l="1"/>
  <c r="AG24" i="2" s="1"/>
  <c r="AG14" i="2"/>
  <c r="AG15" i="2" s="1"/>
  <c r="AG32" i="2" l="1"/>
  <c r="AG33" i="2" s="1"/>
  <c r="AH10" i="2" l="1"/>
  <c r="AH12" i="2" s="1"/>
  <c r="AG31" i="2"/>
  <c r="AH13" i="2" l="1"/>
  <c r="AH24" i="2" s="1"/>
  <c r="AH14" i="2" l="1"/>
  <c r="AH15" i="2" s="1"/>
  <c r="AH32" i="2"/>
  <c r="AH33" i="2" s="1"/>
  <c r="AH31" i="2" l="1"/>
  <c r="AI10" i="2"/>
  <c r="AI12" i="2" s="1"/>
  <c r="AI13" i="2" s="1"/>
  <c r="AI24" i="2" s="1"/>
  <c r="AI14" i="2" l="1"/>
  <c r="AI32" i="2" s="1"/>
  <c r="AJ10" i="2" l="1"/>
  <c r="AJ12" i="2" s="1"/>
  <c r="AJ13" i="2" s="1"/>
  <c r="AJ24" i="2" s="1"/>
  <c r="AI15" i="2"/>
  <c r="AI31" i="2"/>
  <c r="AI33" i="2"/>
  <c r="AJ14" i="2" l="1"/>
  <c r="AJ15" i="2" l="1"/>
  <c r="AJ32" i="2"/>
  <c r="AJ31" i="2" l="1"/>
  <c r="AK10" i="2"/>
  <c r="AK12" i="2" s="1"/>
  <c r="AJ33" i="2"/>
  <c r="AK13" i="2" l="1"/>
  <c r="AK24" i="2" s="1"/>
  <c r="AK14" i="2" l="1"/>
  <c r="AK15" i="2" s="1"/>
  <c r="AK32" i="2" l="1"/>
  <c r="AL10" i="2" l="1"/>
  <c r="AL12" i="2" s="1"/>
  <c r="AL13" i="2" s="1"/>
  <c r="AL24" i="2" s="1"/>
  <c r="AK31" i="2"/>
  <c r="AK33" i="2"/>
  <c r="AL14" i="2" l="1"/>
  <c r="AL15" i="2" l="1"/>
  <c r="AL32" i="2"/>
  <c r="AM10" i="2" s="1"/>
  <c r="AL31" i="2" l="1"/>
  <c r="AM12" i="2"/>
  <c r="AL33" i="2"/>
  <c r="AM13" i="2" l="1"/>
  <c r="AM24" i="2" s="1"/>
  <c r="AM14" i="2" l="1"/>
  <c r="AM15" i="2" l="1"/>
  <c r="AM32" i="2"/>
  <c r="AN10" i="2" s="1"/>
  <c r="AN12" i="2" l="1"/>
  <c r="AM31" i="2"/>
  <c r="AM33" i="2"/>
  <c r="AN13" i="2" l="1"/>
  <c r="AN24" i="2" s="1"/>
  <c r="AN14" i="2" l="1"/>
  <c r="AN15" i="2" s="1"/>
  <c r="AN32" i="2" l="1"/>
  <c r="AO10" i="2" l="1"/>
  <c r="AO12" i="2" s="1"/>
  <c r="AO13" i="2" s="1"/>
  <c r="AO24" i="2" s="1"/>
  <c r="AN33" i="2"/>
  <c r="AN31" i="2"/>
  <c r="AO14" i="2" l="1"/>
  <c r="AO15" i="2" s="1"/>
  <c r="AO32" i="2" l="1"/>
  <c r="AO31" i="2" l="1"/>
  <c r="AP10" i="2"/>
  <c r="AP12" i="2" s="1"/>
  <c r="AO33" i="2"/>
  <c r="AP13" i="2" l="1"/>
  <c r="AP24" i="2" s="1"/>
  <c r="AP14" i="2" l="1"/>
  <c r="AP15" i="2" l="1"/>
  <c r="AP32" i="2"/>
  <c r="AQ10" i="2" s="1"/>
  <c r="AQ12" i="2" l="1"/>
  <c r="AP33" i="2"/>
  <c r="AP31" i="2"/>
  <c r="AQ13" i="2" l="1"/>
  <c r="AQ24" i="2" s="1"/>
  <c r="AQ14" i="2" l="1"/>
  <c r="AQ15" i="2" s="1"/>
  <c r="AQ32" i="2" l="1"/>
  <c r="AR10" i="2" l="1"/>
  <c r="AR12" i="2" s="1"/>
  <c r="AR13" i="2" s="1"/>
  <c r="AR24" i="2" s="1"/>
  <c r="AQ31" i="2"/>
  <c r="AQ33" i="2"/>
  <c r="AR14" i="2" l="1"/>
  <c r="AR15" i="2" s="1"/>
  <c r="AR32" i="2" l="1"/>
  <c r="AS10" i="2" l="1"/>
  <c r="AS12" i="2" s="1"/>
  <c r="AS13" i="2" s="1"/>
  <c r="AS24" i="2" s="1"/>
  <c r="AR33" i="2"/>
  <c r="AR31" i="2"/>
  <c r="AS14" i="2" l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S6" i="2" s="1"/>
  <c r="AS15" i="2" l="1"/>
  <c r="S8" i="2"/>
  <c r="S9" i="2" s="1"/>
  <c r="S11" i="2" s="1"/>
  <c r="AS32" i="2"/>
  <c r="AS33" i="2" s="1"/>
  <c r="AS31" i="2" l="1"/>
</calcChain>
</file>

<file path=xl/sharedStrings.xml><?xml version="1.0" encoding="utf-8"?>
<sst xmlns="http://schemas.openxmlformats.org/spreadsheetml/2006/main" count="121" uniqueCount="85">
  <si>
    <t>ZM</t>
  </si>
  <si>
    <t>Software</t>
  </si>
  <si>
    <t>Price</t>
  </si>
  <si>
    <t>Q224</t>
  </si>
  <si>
    <t>Shares</t>
  </si>
  <si>
    <t>Q124</t>
  </si>
  <si>
    <t>MC</t>
  </si>
  <si>
    <t>CEO</t>
  </si>
  <si>
    <t>Eric S. Yuan</t>
  </si>
  <si>
    <t>Cash</t>
  </si>
  <si>
    <t>Employers</t>
  </si>
  <si>
    <t>7.42K</t>
  </si>
  <si>
    <t>Debt</t>
  </si>
  <si>
    <t>EV</t>
  </si>
  <si>
    <t xml:space="preserve"> 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</si>
  <si>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</si>
  <si>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</si>
  <si>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</si>
  <si>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</si>
  <si>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</si>
  <si>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</si>
  <si>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</si>
  <si>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</si>
  <si>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</si>
  <si>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</si>
  <si>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</si>
  <si>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</si>
  <si>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Q324</t>
  </si>
  <si>
    <t>Revenue</t>
  </si>
  <si>
    <t>COGS</t>
  </si>
  <si>
    <t xml:space="preserve">  </t>
  </si>
  <si>
    <t>Gross profit</t>
  </si>
  <si>
    <t>RD</t>
  </si>
  <si>
    <t>SM</t>
  </si>
  <si>
    <t>GA</t>
  </si>
  <si>
    <t>OPEX</t>
  </si>
  <si>
    <t>Operating profit</t>
  </si>
  <si>
    <t>Interest Income</t>
  </si>
  <si>
    <t>Other</t>
  </si>
  <si>
    <t>EBIT</t>
  </si>
  <si>
    <t>Taxes</t>
  </si>
  <si>
    <t>Net Income</t>
  </si>
  <si>
    <t>EPS</t>
  </si>
  <si>
    <t>Gross Margin</t>
  </si>
  <si>
    <t>RD %</t>
  </si>
  <si>
    <t>SM %</t>
  </si>
  <si>
    <t>GA%</t>
  </si>
  <si>
    <t>Operating Margin</t>
  </si>
  <si>
    <t>Net Margin</t>
  </si>
  <si>
    <t>Taxe rate</t>
  </si>
  <si>
    <t>Revenue y/y</t>
  </si>
  <si>
    <t>Model NI</t>
  </si>
  <si>
    <t>Reported NI</t>
  </si>
  <si>
    <t>E/NC yield</t>
  </si>
  <si>
    <t>Net Cash</t>
  </si>
  <si>
    <t>Investements</t>
  </si>
  <si>
    <t>Securities yield</t>
  </si>
  <si>
    <t>ROIC</t>
  </si>
  <si>
    <t>MR</t>
  </si>
  <si>
    <t>DR</t>
  </si>
  <si>
    <t>A/R</t>
  </si>
  <si>
    <t>NPV</t>
  </si>
  <si>
    <t>DC</t>
  </si>
  <si>
    <t>NC</t>
  </si>
  <si>
    <t>OCA</t>
  </si>
  <si>
    <t>Net Value</t>
  </si>
  <si>
    <t>PPE</t>
  </si>
  <si>
    <t>Per share</t>
  </si>
  <si>
    <t>OL Assets</t>
  </si>
  <si>
    <t>Current</t>
  </si>
  <si>
    <t>Intangibles</t>
  </si>
  <si>
    <t>Ratio</t>
  </si>
  <si>
    <t>DT</t>
  </si>
  <si>
    <t>ONCA</t>
  </si>
  <si>
    <t>Assets</t>
  </si>
  <si>
    <t>A/P</t>
  </si>
  <si>
    <t>AE</t>
  </si>
  <si>
    <t>D/R</t>
  </si>
  <si>
    <t>OL Liabilities</t>
  </si>
  <si>
    <t>ONCL</t>
  </si>
  <si>
    <t>Liabilities</t>
  </si>
  <si>
    <t>S/E</t>
  </si>
  <si>
    <t>L+S/E</t>
  </si>
  <si>
    <t xml:space="preserve">ROA 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</si>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</sst>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232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9" fontId="0" fillId="0" borderId="0" xfId="0" applyNumberFormat="1"/>
    <xf numFmtId="0" fontId="0" fillId="2" borderId="0" xfId="0" applyFill="1"/>
    <xf numFmtId="8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83820</xdr:rowOff>
    </xdr:from>
    <xdr:to>
      <xdr:col>15</xdr:col>
      <xdr:colOff>7620</xdr:colOff>
      <xdr:row>65</xdr:row>
      <xdr:rowOff>152400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BCDC0E2E-40B9-0301-381A-1A1DDEFEAF5A}"/>
            </a:ext>
          </a:extLst>
        </xdr:cNvPr>
        <xdr:cNvCxnSpPr/>
      </xdr:nvCxnSpPr>
      <xdr:spPr>
        <a:xfrm>
          <a:off x="12595860" y="83820"/>
          <a:ext cx="0" cy="114604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</xdr:colOff>
      <xdr:row>0</xdr:row>
      <xdr:rowOff>60960</xdr:rowOff>
    </xdr:from>
    <xdr:to>
      <xdr:col>28</xdr:col>
      <xdr:colOff>7620</xdr:colOff>
      <xdr:row>66</xdr:row>
      <xdr:rowOff>152400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C345EAD0-26FC-4276-94AE-6C8F0246AA4F}"/>
            </a:ext>
          </a:extLst>
        </xdr:cNvPr>
        <xdr:cNvCxnSpPr/>
      </xdr:nvCxnSpPr>
      <xdr:spPr>
        <a:xfrm>
          <a:off x="20093940" y="60960"/>
          <a:ext cx="0" cy="11658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E21B-66E3-4AC7-8A97-22A628A40F95}">
  <dimension ref="B2:M11"/>
  <sheetViews>
    <sheetView workbookViewId="0">
      <selection activeCell="L11" sqref="L11"/>
    </sheetView>
  </sheetViews>
  <sheetFormatPr defaultRowHeight="13.8" x14ac:dyDescent="0.25"/>
  <cols>
    <col min="2" max="2" width="9.5" customWidth="1"/>
    <col min="3" max="3" width="10.69921875" customWidth="1"/>
    <col min="12" max="12" width="10.8984375" bestFit="1" customWidth="1"/>
  </cols>
  <sheetData>
    <row r="2" spans="2:13" x14ac:dyDescent="0.25">
      <c r="B2" s="1" t="s">
        <v>0</v>
      </c>
      <c r="C2" t="s">
        <v>1</v>
      </c>
    </row>
    <row r="3" spans="2:13" x14ac:dyDescent="0.25">
      <c r="K3" t="s">
        <v>2</v>
      </c>
      <c r="L3" s="2">
        <v>62</v>
      </c>
      <c r="M3" t="s">
        <v>3</v>
      </c>
    </row>
    <row r="4" spans="2:13" x14ac:dyDescent="0.25">
      <c r="K4" t="s">
        <v>4</v>
      </c>
      <c r="L4" s="2">
        <f>45.660427+263.0616605</f>
        <v>308.72208750000004</v>
      </c>
      <c r="M4" t="s">
        <v>5</v>
      </c>
    </row>
    <row r="5" spans="2:13" x14ac:dyDescent="0.25">
      <c r="K5" t="s">
        <v>6</v>
      </c>
      <c r="L5" s="2">
        <f>+L4*L3</f>
        <v>19140.769425000002</v>
      </c>
    </row>
    <row r="6" spans="2:13" x14ac:dyDescent="0.25">
      <c r="B6" t="s">
        <v>7</v>
      </c>
      <c r="C6" s="10" t="s">
        <v>8</v>
      </c>
      <c r="K6" t="s">
        <v>9</v>
      </c>
      <c r="L6" s="2">
        <f>1885.603+5488.737+424.923</f>
        <v>7799.2629999999999</v>
      </c>
    </row>
    <row r="7" spans="2:13" x14ac:dyDescent="0.25">
      <c r="B7" t="s">
        <v>10</v>
      </c>
      <c r="C7" t="s">
        <v>11</v>
      </c>
      <c r="K7" t="s">
        <v>12</v>
      </c>
      <c r="L7" s="2">
        <v>0</v>
      </c>
    </row>
    <row r="8" spans="2:13" x14ac:dyDescent="0.25">
      <c r="K8" t="s">
        <v>13</v>
      </c>
      <c r="L8" s="2">
        <f>+L5-L6+L7</f>
        <v>11341.506425000003</v>
      </c>
    </row>
    <row r="10" spans="2:13" x14ac:dyDescent="0.25">
      <c r="L10" t="s">
        <v>14</v>
      </c>
    </row>
    <row r="11" spans="2:13" x14ac:dyDescent="0.25">
      <c r="K11" t="s">
        <v>14</v>
      </c>
      <c r="L11">
        <f>+L8/model!AB12</f>
        <v>13.626508358644351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8679-50E4-4847-BA04-A28EF819F0A5}">
  <dimension ref="A1:BR62"/>
  <sheetViews>
    <sheetView tabSelected="1" workbookViewId="0">
      <pane xSplit="1" ySplit="1" topLeftCell="Q18" activePane="bottomRight" state="frozen"/>
      <selection pane="topRight" activeCell="B1" sqref="B1"/>
      <selection pane="bottomLeft" activeCell="A2" sqref="A2"/>
      <selection pane="bottomRight" activeCell="Z32" sqref="Z32"/>
    </sheetView>
  </sheetViews>
  <sheetFormatPr defaultRowHeight="13.8" x14ac:dyDescent="0.25"/>
  <cols>
    <col min="1" max="1" width="14.8984375" bestFit="1" customWidth="1"/>
    <col min="2" max="4" width="14" customWidth="1"/>
    <col min="5" max="5" width="16" customWidth="1"/>
    <col min="6" max="6" width="14" customWidth="1"/>
    <col min="9" max="9" width="8.69921875" customWidth="1"/>
    <col min="19" max="19" width="11.8984375" bestFit="1" customWidth="1"/>
    <col min="26" max="26" width="10.3984375" bestFit="1" customWidth="1"/>
    <col min="33" max="33" width="10.3984375" bestFit="1" customWidth="1"/>
  </cols>
  <sheetData>
    <row r="1" spans="1:70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5</v>
      </c>
      <c r="O1" t="s">
        <v>3</v>
      </c>
      <c r="P1" t="s">
        <v>27</v>
      </c>
      <c r="R1">
        <v>2013</v>
      </c>
      <c r="S1">
        <f>+R1+1</f>
        <v>2014</v>
      </c>
      <c r="T1">
        <f t="shared" ref="T1:Y1" si="0">+S1+1</f>
        <v>2015</v>
      </c>
      <c r="U1">
        <f t="shared" si="0"/>
        <v>2016</v>
      </c>
      <c r="V1">
        <f t="shared" si="0"/>
        <v>2017</v>
      </c>
      <c r="W1">
        <f t="shared" si="0"/>
        <v>2018</v>
      </c>
      <c r="X1">
        <f t="shared" si="0"/>
        <v>2019</v>
      </c>
      <c r="Y1">
        <f t="shared" si="0"/>
        <v>2020</v>
      </c>
      <c r="Z1">
        <v>2021</v>
      </c>
      <c r="AA1">
        <v>2022</v>
      </c>
      <c r="AB1">
        <f>+AA1+1</f>
        <v>2023</v>
      </c>
      <c r="AC1">
        <f t="shared" ref="AC1:AZ1" si="1">+AB1+1</f>
        <v>2024</v>
      </c>
      <c r="AD1">
        <f t="shared" si="1"/>
        <v>2025</v>
      </c>
      <c r="AE1">
        <f t="shared" si="1"/>
        <v>2026</v>
      </c>
      <c r="AF1">
        <f t="shared" si="1"/>
        <v>2027</v>
      </c>
      <c r="AG1">
        <f t="shared" si="1"/>
        <v>2028</v>
      </c>
      <c r="AH1">
        <f t="shared" si="1"/>
        <v>2029</v>
      </c>
      <c r="AI1">
        <f t="shared" si="1"/>
        <v>2030</v>
      </c>
      <c r="AJ1">
        <f t="shared" si="1"/>
        <v>2031</v>
      </c>
      <c r="AK1">
        <f t="shared" si="1"/>
        <v>2032</v>
      </c>
      <c r="AL1">
        <f t="shared" si="1"/>
        <v>2033</v>
      </c>
      <c r="AM1">
        <f t="shared" si="1"/>
        <v>2034</v>
      </c>
      <c r="AN1">
        <f t="shared" si="1"/>
        <v>2035</v>
      </c>
      <c r="AO1">
        <f t="shared" si="1"/>
        <v>2036</v>
      </c>
      <c r="AP1">
        <f t="shared" si="1"/>
        <v>2037</v>
      </c>
      <c r="AQ1">
        <f t="shared" si="1"/>
        <v>2038</v>
      </c>
      <c r="AR1">
        <f t="shared" si="1"/>
        <v>2039</v>
      </c>
      <c r="AS1">
        <f t="shared" si="1"/>
        <v>2040</v>
      </c>
      <c r="AT1">
        <f t="shared" si="1"/>
        <v>2041</v>
      </c>
      <c r="AU1">
        <f t="shared" si="1"/>
        <v>2042</v>
      </c>
      <c r="AV1">
        <f t="shared" si="1"/>
        <v>2043</v>
      </c>
      <c r="AW1">
        <f t="shared" si="1"/>
        <v>2044</v>
      </c>
      <c r="AX1">
        <f t="shared" si="1"/>
        <v>2045</v>
      </c>
      <c r="AY1">
        <f t="shared" si="1"/>
        <v>2046</v>
      </c>
      <c r="AZ1">
        <f t="shared" si="1"/>
        <v>2047</v>
      </c>
    </row>
    <row r="2" spans="1:70" s="3" customFormat="1" x14ac:dyDescent="0.25">
      <c r="A2" s="3" t="s">
        <v>28</v>
      </c>
      <c r="F2" s="3">
        <v>1073.8</v>
      </c>
      <c r="G2" s="3">
        <v>1099.4580000000001</v>
      </c>
      <c r="H2" s="3">
        <v>1101.8989999999999</v>
      </c>
      <c r="I2" s="3">
        <f>4392.96-F2-G2-H2</f>
        <v>1117.8029999999999</v>
      </c>
      <c r="J2" s="3">
        <v>1105.364</v>
      </c>
      <c r="K2" s="3">
        <v>1138.6759999999999</v>
      </c>
      <c r="L2" s="3">
        <v>1136.7270000000001</v>
      </c>
      <c r="M2" s="3">
        <f>4527.224-J2-K2-L2</f>
        <v>1146.4570000000001</v>
      </c>
      <c r="N2" s="3">
        <v>1141.2339999999999</v>
      </c>
      <c r="O2" s="3">
        <v>1162.52</v>
      </c>
      <c r="Z2" s="3">
        <v>4099.8639999999996</v>
      </c>
      <c r="AA2" s="3">
        <f>SUM(F2:I2)</f>
        <v>4392.9599999999991</v>
      </c>
      <c r="AB2" s="3">
        <f>SUM(J2:M2)</f>
        <v>4527.2240000000002</v>
      </c>
      <c r="AC2" s="3">
        <f t="shared" ref="AC2:AF2" si="2">+AB2*(1-$S$4)</f>
        <v>4663.04072</v>
      </c>
      <c r="AD2" s="3">
        <f t="shared" si="2"/>
        <v>4802.9319415999998</v>
      </c>
      <c r="AE2" s="3">
        <f t="shared" si="2"/>
        <v>4947.019899848</v>
      </c>
      <c r="AF2" s="3">
        <f t="shared" si="2"/>
        <v>5095.4304968434399</v>
      </c>
      <c r="AG2" s="3">
        <f>+AF2*(1-$S$4)</f>
        <v>5248.293411748743</v>
      </c>
      <c r="AH2" s="3">
        <f t="shared" ref="AH2:AS2" si="3">+AG2*(1-$S$4)</f>
        <v>5405.7422141012057</v>
      </c>
      <c r="AI2" s="3">
        <f t="shared" si="3"/>
        <v>5567.9144805242422</v>
      </c>
      <c r="AJ2" s="3">
        <f t="shared" si="3"/>
        <v>5734.9519149399694</v>
      </c>
      <c r="AK2" s="3">
        <f t="shared" si="3"/>
        <v>5907.0004723881684</v>
      </c>
      <c r="AL2" s="3">
        <f t="shared" si="3"/>
        <v>6084.2104865598139</v>
      </c>
      <c r="AM2" s="3">
        <f t="shared" si="3"/>
        <v>6266.7368011566086</v>
      </c>
      <c r="AN2" s="3">
        <f t="shared" si="3"/>
        <v>6454.7389051913069</v>
      </c>
      <c r="AO2" s="3">
        <f t="shared" si="3"/>
        <v>6648.381072347046</v>
      </c>
      <c r="AP2" s="3">
        <f t="shared" si="3"/>
        <v>6847.8325045174579</v>
      </c>
      <c r="AQ2" s="3">
        <f t="shared" si="3"/>
        <v>7053.2674796529818</v>
      </c>
      <c r="AR2" s="3">
        <f t="shared" si="3"/>
        <v>7264.865504042571</v>
      </c>
      <c r="AS2" s="3">
        <f t="shared" si="3"/>
        <v>7482.8114691638484</v>
      </c>
    </row>
    <row r="3" spans="1:70" x14ac:dyDescent="0.25">
      <c r="A3" t="s">
        <v>29</v>
      </c>
      <c r="B3" t="s">
        <v>30</v>
      </c>
      <c r="F3">
        <v>261.82100000000003</v>
      </c>
      <c r="G3">
        <v>273.61099999999999</v>
      </c>
      <c r="H3">
        <v>270.66500000000002</v>
      </c>
      <c r="I3">
        <f>1100.451-F3-G3-H3</f>
        <v>294.35399999999998</v>
      </c>
      <c r="J3">
        <v>263.947</v>
      </c>
      <c r="K3">
        <v>266.55900000000003</v>
      </c>
      <c r="L3">
        <v>270.988</v>
      </c>
      <c r="M3">
        <f>1077.801-J3-K3-L3</f>
        <v>276.30699999999985</v>
      </c>
      <c r="N3">
        <v>273.30200000000002</v>
      </c>
      <c r="O3">
        <v>285.089</v>
      </c>
      <c r="R3" t="s">
        <v>57</v>
      </c>
      <c r="S3" s="5">
        <v>0.01</v>
      </c>
      <c r="U3" s="5" t="s">
        <v>14</v>
      </c>
      <c r="V3" s="5"/>
      <c r="W3" s="5"/>
      <c r="X3" s="5"/>
      <c r="Y3" s="5"/>
      <c r="Z3">
        <v>1054.5540000000001</v>
      </c>
      <c r="AA3">
        <f>SUM(F3:I3)</f>
        <v>1100.451</v>
      </c>
      <c r="AB3">
        <f>SUM(J3:M3)</f>
        <v>1077.8009999999999</v>
      </c>
      <c r="AC3">
        <f>+AB3*1.02</f>
        <v>1099.3570199999999</v>
      </c>
      <c r="AD3">
        <f t="shared" ref="AD3:AS3" si="4">+AC3*1.02</f>
        <v>1121.3441604</v>
      </c>
      <c r="AE3">
        <f t="shared" si="4"/>
        <v>1143.7710436079999</v>
      </c>
      <c r="AF3">
        <f t="shared" si="4"/>
        <v>1166.6464644801599</v>
      </c>
      <c r="AG3">
        <f t="shared" si="4"/>
        <v>1189.9793937697632</v>
      </c>
      <c r="AH3">
        <f t="shared" si="4"/>
        <v>1213.7789816451584</v>
      </c>
      <c r="AI3">
        <f t="shared" si="4"/>
        <v>1238.0545612780616</v>
      </c>
      <c r="AJ3">
        <f t="shared" si="4"/>
        <v>1262.8156525036229</v>
      </c>
      <c r="AK3">
        <f t="shared" si="4"/>
        <v>1288.0719655536955</v>
      </c>
      <c r="AL3">
        <f t="shared" si="4"/>
        <v>1313.8334048647694</v>
      </c>
      <c r="AM3">
        <f t="shared" si="4"/>
        <v>1340.1100729620648</v>
      </c>
      <c r="AN3">
        <f t="shared" si="4"/>
        <v>1366.9122744213062</v>
      </c>
      <c r="AO3">
        <f t="shared" si="4"/>
        <v>1394.2505199097322</v>
      </c>
      <c r="AP3">
        <f t="shared" si="4"/>
        <v>1422.135530307927</v>
      </c>
      <c r="AQ3">
        <f t="shared" si="4"/>
        <v>1450.5782409140854</v>
      </c>
      <c r="AR3">
        <f t="shared" si="4"/>
        <v>1479.5898057323673</v>
      </c>
      <c r="AS3">
        <f t="shared" si="4"/>
        <v>1509.1816018470147</v>
      </c>
    </row>
    <row r="4" spans="1:70" s="3" customFormat="1" x14ac:dyDescent="0.25">
      <c r="A4" s="3" t="s">
        <v>31</v>
      </c>
      <c r="F4" s="3">
        <f t="shared" ref="F4:O4" si="5">+F2-F3</f>
        <v>811.97899999999993</v>
      </c>
      <c r="G4" s="3">
        <f t="shared" si="5"/>
        <v>825.84700000000009</v>
      </c>
      <c r="H4" s="3">
        <f t="shared" si="5"/>
        <v>831.23399999999992</v>
      </c>
      <c r="I4" s="3">
        <f t="shared" si="5"/>
        <v>823.44899999999984</v>
      </c>
      <c r="J4" s="3">
        <f t="shared" si="5"/>
        <v>841.41700000000003</v>
      </c>
      <c r="K4" s="3">
        <f t="shared" si="5"/>
        <v>872.11699999999996</v>
      </c>
      <c r="L4" s="3">
        <f t="shared" si="5"/>
        <v>865.73900000000003</v>
      </c>
      <c r="M4" s="3">
        <f t="shared" si="5"/>
        <v>870.15000000000032</v>
      </c>
      <c r="N4" s="3">
        <f t="shared" si="5"/>
        <v>867.9319999999999</v>
      </c>
      <c r="O4" s="3">
        <f t="shared" si="5"/>
        <v>877.43100000000004</v>
      </c>
      <c r="R4" t="s">
        <v>58</v>
      </c>
      <c r="S4" s="5">
        <v>-0.03</v>
      </c>
      <c r="U4" s="3" t="s">
        <v>14</v>
      </c>
      <c r="Z4" s="3">
        <f>+Z2-Z3</f>
        <v>3045.3099999999995</v>
      </c>
      <c r="AA4" s="3">
        <f>+AA2-AA3</f>
        <v>3292.5089999999991</v>
      </c>
      <c r="AB4" s="3">
        <f>+AB2-AB3</f>
        <v>3449.4230000000002</v>
      </c>
      <c r="AC4" s="3">
        <f>+AC2-AC3</f>
        <v>3563.6837</v>
      </c>
      <c r="AD4" s="3">
        <f t="shared" ref="AD4:AS4" si="6">+AD2-AD3</f>
        <v>3681.5877811999999</v>
      </c>
      <c r="AE4" s="3">
        <f t="shared" si="6"/>
        <v>3803.2488562400004</v>
      </c>
      <c r="AF4" s="3">
        <f t="shared" si="6"/>
        <v>3928.7840323632799</v>
      </c>
      <c r="AG4" s="3">
        <f t="shared" si="6"/>
        <v>4058.3140179789798</v>
      </c>
      <c r="AH4" s="3">
        <f t="shared" si="6"/>
        <v>4191.9632324560471</v>
      </c>
      <c r="AI4" s="3">
        <f t="shared" si="6"/>
        <v>4329.8599192461807</v>
      </c>
      <c r="AJ4" s="3">
        <f t="shared" si="6"/>
        <v>4472.1362624363464</v>
      </c>
      <c r="AK4" s="3">
        <f t="shared" si="6"/>
        <v>4618.9285068344725</v>
      </c>
      <c r="AL4" s="3">
        <f t="shared" si="6"/>
        <v>4770.3770816950446</v>
      </c>
      <c r="AM4" s="3">
        <f t="shared" si="6"/>
        <v>4926.6267281945438</v>
      </c>
      <c r="AN4" s="3">
        <f t="shared" si="6"/>
        <v>5087.8266307700005</v>
      </c>
      <c r="AO4" s="3">
        <f t="shared" si="6"/>
        <v>5254.1305524373138</v>
      </c>
      <c r="AP4" s="3">
        <f t="shared" si="6"/>
        <v>5425.6969742095307</v>
      </c>
      <c r="AQ4" s="3">
        <f t="shared" si="6"/>
        <v>5602.6892387388962</v>
      </c>
      <c r="AR4" s="3">
        <f t="shared" si="6"/>
        <v>5785.2756983102036</v>
      </c>
      <c r="AS4" s="3">
        <f t="shared" si="6"/>
        <v>5973.629867316834</v>
      </c>
    </row>
    <row r="5" spans="1:70" x14ac:dyDescent="0.25">
      <c r="A5" t="s">
        <v>32</v>
      </c>
      <c r="F5">
        <v>144.291</v>
      </c>
      <c r="G5">
        <v>172.56399999999999</v>
      </c>
      <c r="H5">
        <v>195.946</v>
      </c>
      <c r="I5">
        <f>774.059-F5-G5-H5</f>
        <v>261.25800000000004</v>
      </c>
      <c r="J5">
        <v>209.27099999999999</v>
      </c>
      <c r="K5">
        <v>191.80199999999999</v>
      </c>
      <c r="L5">
        <v>196.83199999999999</v>
      </c>
      <c r="M5">
        <f>803.187-J5-K5-L5</f>
        <v>205.28200000000004</v>
      </c>
      <c r="N5">
        <v>205.55799999999999</v>
      </c>
      <c r="O5">
        <v>206.756</v>
      </c>
      <c r="R5" t="s">
        <v>59</v>
      </c>
      <c r="S5" s="5">
        <v>7.0000000000000007E-2</v>
      </c>
      <c r="U5" t="s">
        <v>14</v>
      </c>
      <c r="Z5">
        <v>362.99</v>
      </c>
      <c r="AA5">
        <f>SUM(F5:I5)</f>
        <v>774.05900000000008</v>
      </c>
      <c r="AB5">
        <f>SUM(J5:M5)</f>
        <v>803.18700000000001</v>
      </c>
      <c r="AC5">
        <f t="shared" ref="AC5:AS6" si="7">+AB5*1.02</f>
        <v>819.25074000000006</v>
      </c>
      <c r="AD5">
        <f t="shared" si="7"/>
        <v>835.63575480000009</v>
      </c>
      <c r="AE5">
        <f t="shared" si="7"/>
        <v>852.3484698960001</v>
      </c>
      <c r="AF5">
        <f t="shared" si="7"/>
        <v>869.39543929392016</v>
      </c>
      <c r="AG5">
        <f t="shared" si="7"/>
        <v>886.78334807979854</v>
      </c>
      <c r="AH5">
        <f t="shared" si="7"/>
        <v>904.51901504139448</v>
      </c>
      <c r="AI5">
        <f t="shared" si="7"/>
        <v>922.60939534222234</v>
      </c>
      <c r="AJ5">
        <f t="shared" si="7"/>
        <v>941.06158324906676</v>
      </c>
      <c r="AK5">
        <f t="shared" si="7"/>
        <v>959.88281491404814</v>
      </c>
      <c r="AL5">
        <f t="shared" si="7"/>
        <v>979.08047121232914</v>
      </c>
      <c r="AM5">
        <f t="shared" si="7"/>
        <v>998.66208063657575</v>
      </c>
      <c r="AN5">
        <f t="shared" si="7"/>
        <v>1018.6353222493073</v>
      </c>
      <c r="AO5">
        <f t="shared" si="7"/>
        <v>1039.0080286942934</v>
      </c>
      <c r="AP5">
        <f t="shared" si="7"/>
        <v>1059.7881892681794</v>
      </c>
      <c r="AQ5">
        <f t="shared" si="7"/>
        <v>1080.983953053543</v>
      </c>
      <c r="AR5">
        <f t="shared" si="7"/>
        <v>1102.6036321146139</v>
      </c>
      <c r="AS5">
        <f t="shared" si="7"/>
        <v>1124.6557047569063</v>
      </c>
    </row>
    <row r="6" spans="1:70" x14ac:dyDescent="0.25">
      <c r="A6" t="s">
        <v>33</v>
      </c>
      <c r="F6">
        <v>362.78300000000002</v>
      </c>
      <c r="G6">
        <v>400.47399999999999</v>
      </c>
      <c r="H6">
        <v>427.74700000000001</v>
      </c>
      <c r="I6">
        <f>1696.59-F6-G6-H6</f>
        <v>505.58599999999984</v>
      </c>
      <c r="J6">
        <v>422.50400000000002</v>
      </c>
      <c r="K6">
        <v>373.37299999999999</v>
      </c>
      <c r="L6">
        <v>374.37799999999999</v>
      </c>
      <c r="M6">
        <f>1541.307-J6-K6-L6</f>
        <v>371.05199999999985</v>
      </c>
      <c r="N6">
        <v>348.00799999999998</v>
      </c>
      <c r="O6" s="3">
        <v>358.77</v>
      </c>
      <c r="R6" t="s">
        <v>61</v>
      </c>
      <c r="S6" s="7">
        <f>NPV(S5,AC14:BR14)</f>
        <v>14145.363365620527</v>
      </c>
      <c r="Z6">
        <v>1135.9590000000001</v>
      </c>
      <c r="AA6">
        <f>SUM(F6:I6)</f>
        <v>1696.59</v>
      </c>
      <c r="AB6">
        <f>SUM(J6:M6)</f>
        <v>1541.3069999999998</v>
      </c>
      <c r="AC6">
        <f t="shared" si="7"/>
        <v>1572.1331399999999</v>
      </c>
      <c r="AD6">
        <f t="shared" si="7"/>
        <v>1603.5758028</v>
      </c>
      <c r="AE6">
        <f t="shared" si="7"/>
        <v>1635.6473188560001</v>
      </c>
      <c r="AF6">
        <f t="shared" si="7"/>
        <v>1668.3602652331201</v>
      </c>
      <c r="AG6">
        <f t="shared" si="7"/>
        <v>1701.7274705377824</v>
      </c>
      <c r="AH6">
        <f t="shared" si="7"/>
        <v>1735.7620199485382</v>
      </c>
      <c r="AI6">
        <f t="shared" si="7"/>
        <v>1770.4772603475089</v>
      </c>
      <c r="AJ6">
        <f t="shared" si="7"/>
        <v>1805.8868055544592</v>
      </c>
      <c r="AK6">
        <f t="shared" si="7"/>
        <v>1842.0045416655485</v>
      </c>
      <c r="AL6">
        <f t="shared" si="7"/>
        <v>1878.8446324988595</v>
      </c>
      <c r="AM6">
        <f t="shared" si="7"/>
        <v>1916.4215251488367</v>
      </c>
      <c r="AN6">
        <f t="shared" si="7"/>
        <v>1954.7499556518135</v>
      </c>
      <c r="AO6">
        <f t="shared" si="7"/>
        <v>1993.8449547648497</v>
      </c>
      <c r="AP6">
        <f t="shared" si="7"/>
        <v>2033.7218538601467</v>
      </c>
      <c r="AQ6">
        <f t="shared" si="7"/>
        <v>2074.3962909373495</v>
      </c>
      <c r="AR6">
        <f t="shared" si="7"/>
        <v>2115.8842167560965</v>
      </c>
      <c r="AS6">
        <f t="shared" si="7"/>
        <v>2158.2019010912186</v>
      </c>
    </row>
    <row r="7" spans="1:70" x14ac:dyDescent="0.25">
      <c r="A7" t="s">
        <v>34</v>
      </c>
      <c r="F7">
        <v>117.84</v>
      </c>
      <c r="G7">
        <v>131.066</v>
      </c>
      <c r="H7">
        <v>141.03299999999999</v>
      </c>
      <c r="I7">
        <f>576.431-F7-G7-H7</f>
        <v>186.49199999999999</v>
      </c>
      <c r="J7">
        <v>199.9</v>
      </c>
      <c r="K7">
        <v>129.32400000000001</v>
      </c>
      <c r="L7">
        <v>125.14</v>
      </c>
      <c r="M7">
        <f>579.65-J7-K7-L7</f>
        <v>125.28599999999999</v>
      </c>
      <c r="N7">
        <v>111.34399999999999</v>
      </c>
      <c r="O7">
        <v>109.535</v>
      </c>
      <c r="R7" t="s">
        <v>63</v>
      </c>
      <c r="S7">
        <f>+N37</f>
        <v>7799.2629999999999</v>
      </c>
      <c r="W7" t="s">
        <v>14</v>
      </c>
      <c r="Z7">
        <v>482.77</v>
      </c>
      <c r="AA7">
        <f>SUM(F7:I7)</f>
        <v>576.43099999999993</v>
      </c>
      <c r="AB7">
        <f>SUM(J7:M7)</f>
        <v>579.65</v>
      </c>
      <c r="AC7">
        <f t="shared" ref="AC7:AS7" si="8">+AB7*1.02</f>
        <v>591.24299999999994</v>
      </c>
      <c r="AD7">
        <f t="shared" si="8"/>
        <v>603.06786</v>
      </c>
      <c r="AE7">
        <f t="shared" si="8"/>
        <v>615.12921719999997</v>
      </c>
      <c r="AF7">
        <f t="shared" si="8"/>
        <v>627.431801544</v>
      </c>
      <c r="AG7">
        <f t="shared" si="8"/>
        <v>639.98043757488006</v>
      </c>
      <c r="AH7">
        <f t="shared" si="8"/>
        <v>652.78004632637771</v>
      </c>
      <c r="AI7">
        <f t="shared" si="8"/>
        <v>665.83564725290523</v>
      </c>
      <c r="AJ7">
        <f t="shared" si="8"/>
        <v>679.15236019796339</v>
      </c>
      <c r="AK7">
        <f t="shared" si="8"/>
        <v>692.73540740192266</v>
      </c>
      <c r="AL7">
        <f t="shared" si="8"/>
        <v>706.59011554996107</v>
      </c>
      <c r="AM7">
        <f t="shared" si="8"/>
        <v>720.72191786096027</v>
      </c>
      <c r="AN7">
        <f t="shared" si="8"/>
        <v>735.13635621817946</v>
      </c>
      <c r="AO7">
        <f t="shared" si="8"/>
        <v>749.83908334254306</v>
      </c>
      <c r="AP7">
        <f t="shared" si="8"/>
        <v>764.83586500939396</v>
      </c>
      <c r="AQ7">
        <f t="shared" si="8"/>
        <v>780.13258230958184</v>
      </c>
      <c r="AR7">
        <f t="shared" si="8"/>
        <v>795.73523395577354</v>
      </c>
      <c r="AS7">
        <f t="shared" si="8"/>
        <v>811.64993863488905</v>
      </c>
    </row>
    <row r="8" spans="1:70" x14ac:dyDescent="0.25">
      <c r="A8" t="s">
        <v>35</v>
      </c>
      <c r="F8">
        <f t="shared" ref="F8:O8" si="9">+F5+F6+F7</f>
        <v>624.91399999999999</v>
      </c>
      <c r="G8">
        <f t="shared" si="9"/>
        <v>704.10400000000004</v>
      </c>
      <c r="H8">
        <f t="shared" si="9"/>
        <v>764.726</v>
      </c>
      <c r="I8">
        <f t="shared" si="9"/>
        <v>953.33599999999979</v>
      </c>
      <c r="J8">
        <f t="shared" si="9"/>
        <v>831.67499999999995</v>
      </c>
      <c r="K8">
        <f t="shared" si="9"/>
        <v>694.49900000000002</v>
      </c>
      <c r="L8">
        <f t="shared" si="9"/>
        <v>696.35</v>
      </c>
      <c r="M8">
        <f t="shared" si="9"/>
        <v>701.61999999999978</v>
      </c>
      <c r="N8">
        <f t="shared" si="9"/>
        <v>664.91000000000008</v>
      </c>
      <c r="O8">
        <f t="shared" si="9"/>
        <v>675.06099999999992</v>
      </c>
      <c r="R8" t="s">
        <v>65</v>
      </c>
      <c r="S8" s="7">
        <f>+S6+S7</f>
        <v>21944.626365620526</v>
      </c>
      <c r="U8" t="s">
        <v>14</v>
      </c>
      <c r="Z8">
        <f>+Z5+Z6+Z7</f>
        <v>1981.7190000000001</v>
      </c>
      <c r="AA8">
        <f>+AA5+AA6+AA7</f>
        <v>3047.08</v>
      </c>
      <c r="AB8">
        <f>+AB5+AB6+AB7</f>
        <v>2924.1439999999998</v>
      </c>
      <c r="AC8">
        <f>+AC5+AC6+AC7</f>
        <v>2982.6268799999998</v>
      </c>
      <c r="AD8">
        <f t="shared" ref="AD8:AS8" si="10">+AD5+AD6+AD7</f>
        <v>3042.2794176000002</v>
      </c>
      <c r="AE8">
        <f t="shared" si="10"/>
        <v>3103.1250059520003</v>
      </c>
      <c r="AF8">
        <f t="shared" si="10"/>
        <v>3165.1875060710404</v>
      </c>
      <c r="AG8">
        <f t="shared" si="10"/>
        <v>3228.4912561924612</v>
      </c>
      <c r="AH8">
        <f t="shared" si="10"/>
        <v>3293.0610813163103</v>
      </c>
      <c r="AI8">
        <f t="shared" si="10"/>
        <v>3358.9223029426366</v>
      </c>
      <c r="AJ8">
        <f t="shared" si="10"/>
        <v>3426.1007490014895</v>
      </c>
      <c r="AK8">
        <f t="shared" si="10"/>
        <v>3494.6227639815193</v>
      </c>
      <c r="AL8">
        <f t="shared" si="10"/>
        <v>3564.5152192611495</v>
      </c>
      <c r="AM8">
        <f t="shared" si="10"/>
        <v>3635.8055236463729</v>
      </c>
      <c r="AN8">
        <f t="shared" si="10"/>
        <v>3708.5216341193004</v>
      </c>
      <c r="AO8">
        <f t="shared" si="10"/>
        <v>3782.6920668016865</v>
      </c>
      <c r="AP8">
        <f t="shared" si="10"/>
        <v>3858.3459081377205</v>
      </c>
      <c r="AQ8">
        <f t="shared" si="10"/>
        <v>3935.512826300474</v>
      </c>
      <c r="AR8">
        <f t="shared" si="10"/>
        <v>4014.2230828264837</v>
      </c>
      <c r="AS8">
        <f t="shared" si="10"/>
        <v>4094.507544483014</v>
      </c>
    </row>
    <row r="9" spans="1:70" s="3" customFormat="1" x14ac:dyDescent="0.25">
      <c r="A9" s="3" t="s">
        <v>36</v>
      </c>
      <c r="F9" s="3">
        <f t="shared" ref="F9:O9" si="11">+F4-F8</f>
        <v>187.06499999999994</v>
      </c>
      <c r="G9" s="3">
        <f t="shared" si="11"/>
        <v>121.74300000000005</v>
      </c>
      <c r="H9" s="3">
        <f t="shared" si="11"/>
        <v>66.507999999999925</v>
      </c>
      <c r="I9" s="3">
        <f t="shared" si="11"/>
        <v>-129.88699999999994</v>
      </c>
      <c r="J9" s="3">
        <f t="shared" si="11"/>
        <v>9.7420000000000755</v>
      </c>
      <c r="K9" s="3">
        <f t="shared" si="11"/>
        <v>177.61799999999994</v>
      </c>
      <c r="L9" s="3">
        <f t="shared" si="11"/>
        <v>169.38900000000001</v>
      </c>
      <c r="M9" s="3">
        <f t="shared" si="11"/>
        <v>168.53000000000054</v>
      </c>
      <c r="N9" s="3">
        <f t="shared" si="11"/>
        <v>203.02199999999982</v>
      </c>
      <c r="O9" s="3">
        <f t="shared" si="11"/>
        <v>202.37000000000012</v>
      </c>
      <c r="R9" t="s">
        <v>67</v>
      </c>
      <c r="S9">
        <f>+S8/main!L4</f>
        <v>71.082139095799306</v>
      </c>
      <c r="Y9" s="3" t="s">
        <v>14</v>
      </c>
      <c r="Z9" s="3">
        <f>+Z4-Z8</f>
        <v>1063.5909999999994</v>
      </c>
      <c r="AA9" s="3">
        <f>+AA4-AA8</f>
        <v>245.42899999999918</v>
      </c>
      <c r="AB9" s="3">
        <f>+AB4-AB8</f>
        <v>525.27900000000045</v>
      </c>
      <c r="AC9" s="3">
        <f t="shared" ref="AC9:AS9" si="12">+AC4-AC8</f>
        <v>581.05682000000024</v>
      </c>
      <c r="AD9" s="3">
        <f t="shared" si="12"/>
        <v>639.30836359999967</v>
      </c>
      <c r="AE9" s="3">
        <f t="shared" si="12"/>
        <v>700.12385028800009</v>
      </c>
      <c r="AF9" s="3">
        <f t="shared" si="12"/>
        <v>763.59652629223956</v>
      </c>
      <c r="AG9" s="3">
        <f t="shared" si="12"/>
        <v>829.82276178651864</v>
      </c>
      <c r="AH9" s="3">
        <f t="shared" si="12"/>
        <v>898.90215113973682</v>
      </c>
      <c r="AI9" s="3">
        <f t="shared" si="12"/>
        <v>970.93761630354402</v>
      </c>
      <c r="AJ9" s="3">
        <f t="shared" si="12"/>
        <v>1046.035513434857</v>
      </c>
      <c r="AK9" s="3">
        <f t="shared" si="12"/>
        <v>1124.3057428529532</v>
      </c>
      <c r="AL9" s="3">
        <f t="shared" si="12"/>
        <v>1205.8618624338951</v>
      </c>
      <c r="AM9" s="3">
        <f t="shared" si="12"/>
        <v>1290.821204548171</v>
      </c>
      <c r="AN9" s="3">
        <f t="shared" si="12"/>
        <v>1379.3049966507001</v>
      </c>
      <c r="AO9" s="3">
        <f t="shared" si="12"/>
        <v>1471.4384856356273</v>
      </c>
      <c r="AP9" s="3">
        <f t="shared" si="12"/>
        <v>1567.3510660718102</v>
      </c>
      <c r="AQ9" s="3">
        <f t="shared" si="12"/>
        <v>1667.1764124384222</v>
      </c>
      <c r="AR9" s="3">
        <f t="shared" si="12"/>
        <v>1771.0526154837198</v>
      </c>
      <c r="AS9" s="3">
        <f t="shared" si="12"/>
        <v>1879.1223228338199</v>
      </c>
    </row>
    <row r="10" spans="1:70" x14ac:dyDescent="0.25">
      <c r="A10" t="s">
        <v>37</v>
      </c>
      <c r="F10">
        <f>-36.404-0.018</f>
        <v>-36.422000000000004</v>
      </c>
      <c r="G10">
        <f>-34.712-0.004</f>
        <v>-34.716000000000001</v>
      </c>
      <c r="H10">
        <v>-6.8979999999999997</v>
      </c>
      <c r="I10">
        <v>40.442999999999998</v>
      </c>
      <c r="J10">
        <v>2.2749999999999999</v>
      </c>
      <c r="K10">
        <v>31.67</v>
      </c>
      <c r="L10">
        <v>-25.471</v>
      </c>
      <c r="M10">
        <f>109.77-J10-K10-L10</f>
        <v>101.29599999999999</v>
      </c>
      <c r="N10">
        <v>17.353999999999999</v>
      </c>
      <c r="O10">
        <v>3.1070000000000002</v>
      </c>
      <c r="R10" t="s">
        <v>69</v>
      </c>
      <c r="S10">
        <v>62</v>
      </c>
      <c r="Z10" s="6">
        <v>43.761000000000003</v>
      </c>
      <c r="AA10" s="6">
        <f>SUM(F10:I10)</f>
        <v>-37.593000000000004</v>
      </c>
      <c r="AB10" s="6">
        <f>SUM(J10:M10)</f>
        <v>109.77</v>
      </c>
      <c r="AC10" s="6">
        <f t="shared" ref="AC10:AS10" si="13">+AB32*$S$3</f>
        <v>73.717070000000007</v>
      </c>
      <c r="AD10" s="6">
        <f t="shared" si="13"/>
        <v>80.107346675000016</v>
      </c>
      <c r="AE10" s="6">
        <f t="shared" si="13"/>
        <v>86.982437002062511</v>
      </c>
      <c r="AF10" s="6">
        <f t="shared" si="13"/>
        <v>94.365206656737982</v>
      </c>
      <c r="AG10" s="6">
        <f t="shared" si="13"/>
        <v>102.2793921538553</v>
      </c>
      <c r="AH10" s="6">
        <f t="shared" si="13"/>
        <v>110.74963080840811</v>
      </c>
      <c r="AI10" s="6">
        <f t="shared" si="13"/>
        <v>119.8014916730192</v>
      </c>
      <c r="AJ10" s="6">
        <f t="shared" si="13"/>
        <v>129.46150748284342</v>
      </c>
      <c r="AK10" s="6">
        <f t="shared" si="13"/>
        <v>139.75720763972618</v>
      </c>
      <c r="AL10" s="6">
        <f t="shared" si="13"/>
        <v>150.71715226842127</v>
      </c>
      <c r="AM10" s="6">
        <f t="shared" si="13"/>
        <v>162.37096737868865</v>
      </c>
      <c r="AN10" s="6">
        <f t="shared" si="13"/>
        <v>174.7493811681401</v>
      </c>
      <c r="AO10" s="6">
        <f t="shared" si="13"/>
        <v>187.8842615017814</v>
      </c>
      <c r="AP10" s="6">
        <f t="shared" si="13"/>
        <v>201.80865460531197</v>
      </c>
      <c r="AQ10" s="6">
        <f t="shared" si="13"/>
        <v>216.55682501039038</v>
      </c>
      <c r="AR10" s="6">
        <f t="shared" si="13"/>
        <v>232.1642967912565</v>
      </c>
      <c r="AS10" s="6">
        <f t="shared" si="13"/>
        <v>248.66789613331883</v>
      </c>
    </row>
    <row r="11" spans="1:70" x14ac:dyDescent="0.25">
      <c r="A11" t="s">
        <v>38</v>
      </c>
      <c r="R11" t="s">
        <v>71</v>
      </c>
      <c r="S11" s="5">
        <f>+S9/S10-1</f>
        <v>0.146486114448376</v>
      </c>
      <c r="Z11">
        <v>-5.72</v>
      </c>
      <c r="AA11">
        <v>41.417999999999999</v>
      </c>
      <c r="AB11">
        <v>197.26300000000001</v>
      </c>
      <c r="AC11">
        <f>+AB11</f>
        <v>197.26300000000001</v>
      </c>
      <c r="AD11">
        <f t="shared" ref="AD11:AS11" si="14">+AC11</f>
        <v>197.26300000000001</v>
      </c>
      <c r="AE11">
        <f t="shared" si="14"/>
        <v>197.26300000000001</v>
      </c>
      <c r="AF11">
        <f t="shared" si="14"/>
        <v>197.26300000000001</v>
      </c>
      <c r="AG11">
        <f t="shared" si="14"/>
        <v>197.26300000000001</v>
      </c>
      <c r="AH11">
        <f t="shared" si="14"/>
        <v>197.26300000000001</v>
      </c>
      <c r="AI11">
        <f t="shared" si="14"/>
        <v>197.26300000000001</v>
      </c>
      <c r="AJ11">
        <f t="shared" si="14"/>
        <v>197.26300000000001</v>
      </c>
      <c r="AK11">
        <f t="shared" si="14"/>
        <v>197.26300000000001</v>
      </c>
      <c r="AL11">
        <f t="shared" si="14"/>
        <v>197.26300000000001</v>
      </c>
      <c r="AM11">
        <f t="shared" si="14"/>
        <v>197.26300000000001</v>
      </c>
      <c r="AN11">
        <f t="shared" si="14"/>
        <v>197.26300000000001</v>
      </c>
      <c r="AO11">
        <f t="shared" si="14"/>
        <v>197.26300000000001</v>
      </c>
      <c r="AP11">
        <f t="shared" si="14"/>
        <v>197.26300000000001</v>
      </c>
      <c r="AQ11">
        <f t="shared" si="14"/>
        <v>197.26300000000001</v>
      </c>
      <c r="AR11">
        <f t="shared" si="14"/>
        <v>197.26300000000001</v>
      </c>
      <c r="AS11">
        <f t="shared" si="14"/>
        <v>197.26300000000001</v>
      </c>
    </row>
    <row r="12" spans="1:70" x14ac:dyDescent="0.25">
      <c r="A12" t="s">
        <v>39</v>
      </c>
      <c r="F12">
        <f t="shared" ref="F12:N12" si="15">+F9+F10</f>
        <v>150.64299999999994</v>
      </c>
      <c r="G12">
        <f t="shared" si="15"/>
        <v>87.027000000000044</v>
      </c>
      <c r="H12">
        <f t="shared" si="15"/>
        <v>59.609999999999928</v>
      </c>
      <c r="I12">
        <f t="shared" si="15"/>
        <v>-89.443999999999946</v>
      </c>
      <c r="J12">
        <f t="shared" si="15"/>
        <v>12.017000000000076</v>
      </c>
      <c r="K12">
        <f t="shared" si="15"/>
        <v>209.28799999999995</v>
      </c>
      <c r="L12">
        <f t="shared" si="15"/>
        <v>143.91800000000001</v>
      </c>
      <c r="M12">
        <f t="shared" si="15"/>
        <v>269.82600000000053</v>
      </c>
      <c r="N12">
        <f t="shared" si="15"/>
        <v>220.37599999999981</v>
      </c>
      <c r="O12">
        <f>+O9+O10</f>
        <v>205.47700000000012</v>
      </c>
      <c r="S12" t="s">
        <v>14</v>
      </c>
      <c r="U12" t="s">
        <v>14</v>
      </c>
      <c r="Z12">
        <f t="shared" ref="Z12:AA12" si="16">+Z9+Z10+Z11</f>
        <v>1101.6319999999994</v>
      </c>
      <c r="AA12">
        <f t="shared" si="16"/>
        <v>249.25399999999917</v>
      </c>
      <c r="AB12">
        <f>+AB9+AB10+AB11</f>
        <v>832.31200000000047</v>
      </c>
      <c r="AC12">
        <f t="shared" ref="AC12:AS12" si="17">+AC9+AC10+AC11</f>
        <v>852.03689000000031</v>
      </c>
      <c r="AD12">
        <f t="shared" si="17"/>
        <v>916.67871027499973</v>
      </c>
      <c r="AE12">
        <f t="shared" si="17"/>
        <v>984.36928729006263</v>
      </c>
      <c r="AF12">
        <f t="shared" si="17"/>
        <v>1055.2247329489776</v>
      </c>
      <c r="AG12">
        <f t="shared" si="17"/>
        <v>1129.3651539403738</v>
      </c>
      <c r="AH12">
        <f t="shared" si="17"/>
        <v>1206.914781948145</v>
      </c>
      <c r="AI12">
        <f t="shared" si="17"/>
        <v>1288.0021079765631</v>
      </c>
      <c r="AJ12">
        <f t="shared" si="17"/>
        <v>1372.7600209177003</v>
      </c>
      <c r="AK12">
        <f t="shared" si="17"/>
        <v>1461.3259504926793</v>
      </c>
      <c r="AL12">
        <f t="shared" si="17"/>
        <v>1553.8420147023162</v>
      </c>
      <c r="AM12">
        <f t="shared" si="17"/>
        <v>1650.4551719268595</v>
      </c>
      <c r="AN12">
        <f t="shared" si="17"/>
        <v>1751.3173778188402</v>
      </c>
      <c r="AO12">
        <f t="shared" si="17"/>
        <v>1856.5857471374086</v>
      </c>
      <c r="AP12">
        <f t="shared" si="17"/>
        <v>1966.422720677122</v>
      </c>
      <c r="AQ12">
        <f t="shared" si="17"/>
        <v>2080.9962374488127</v>
      </c>
      <c r="AR12">
        <f t="shared" si="17"/>
        <v>2200.4799122749764</v>
      </c>
      <c r="AS12">
        <f t="shared" si="17"/>
        <v>2325.0532189671385</v>
      </c>
    </row>
    <row r="13" spans="1:70" x14ac:dyDescent="0.25">
      <c r="A13" t="s">
        <v>40</v>
      </c>
      <c r="F13">
        <v>30.013999999999999</v>
      </c>
      <c r="G13">
        <v>44.649000000000001</v>
      </c>
      <c r="H13">
        <v>6.3959999999999999</v>
      </c>
      <c r="I13">
        <v>64.506</v>
      </c>
      <c r="J13">
        <v>27.786000000000001</v>
      </c>
      <c r="K13">
        <v>68.399000000000001</v>
      </c>
      <c r="L13">
        <v>44.613999999999997</v>
      </c>
      <c r="M13">
        <f>194.85-J13-K13-L13</f>
        <v>54.050999999999995</v>
      </c>
      <c r="N13">
        <v>75.656000000000006</v>
      </c>
      <c r="O13">
        <v>73.873999999999995</v>
      </c>
      <c r="Y13" t="s">
        <v>14</v>
      </c>
      <c r="Z13">
        <v>-274.00700000000001</v>
      </c>
      <c r="AA13">
        <f>SUM(F13:I13)</f>
        <v>145.565</v>
      </c>
      <c r="AB13">
        <f>SUM(J13:M13)</f>
        <v>194.85</v>
      </c>
      <c r="AC13">
        <f>+AC12*0.25</f>
        <v>213.00922250000008</v>
      </c>
      <c r="AD13">
        <f t="shared" ref="AD13:AS13" si="18">+AD12*0.25</f>
        <v>229.16967756874993</v>
      </c>
      <c r="AE13">
        <f t="shared" si="18"/>
        <v>246.09232182251566</v>
      </c>
      <c r="AF13">
        <f t="shared" si="18"/>
        <v>263.8061832372444</v>
      </c>
      <c r="AG13">
        <f t="shared" si="18"/>
        <v>282.34128848509346</v>
      </c>
      <c r="AH13">
        <f t="shared" si="18"/>
        <v>301.72869548703625</v>
      </c>
      <c r="AI13">
        <f t="shared" si="18"/>
        <v>322.00052699414078</v>
      </c>
      <c r="AJ13">
        <f t="shared" si="18"/>
        <v>343.19000522942508</v>
      </c>
      <c r="AK13">
        <f t="shared" si="18"/>
        <v>365.33148762316983</v>
      </c>
      <c r="AL13">
        <f t="shared" si="18"/>
        <v>388.46050367557905</v>
      </c>
      <c r="AM13">
        <f t="shared" si="18"/>
        <v>412.61379298171488</v>
      </c>
      <c r="AN13">
        <f t="shared" si="18"/>
        <v>437.82934445471005</v>
      </c>
      <c r="AO13">
        <f t="shared" si="18"/>
        <v>464.14643678435215</v>
      </c>
      <c r="AP13">
        <f t="shared" si="18"/>
        <v>491.6056801692805</v>
      </c>
      <c r="AQ13">
        <f t="shared" si="18"/>
        <v>520.24905936220318</v>
      </c>
      <c r="AR13">
        <f t="shared" si="18"/>
        <v>550.1199780687441</v>
      </c>
      <c r="AS13">
        <f t="shared" si="18"/>
        <v>581.26330474178462</v>
      </c>
    </row>
    <row r="14" spans="1:70" s="3" customFormat="1" x14ac:dyDescent="0.25">
      <c r="A14" s="3" t="s">
        <v>41</v>
      </c>
      <c r="F14" s="3">
        <f t="shared" ref="F14:O14" si="19">+F12-F13</f>
        <v>120.62899999999995</v>
      </c>
      <c r="G14" s="3">
        <f t="shared" si="19"/>
        <v>42.378000000000043</v>
      </c>
      <c r="H14" s="3">
        <f t="shared" si="19"/>
        <v>53.213999999999928</v>
      </c>
      <c r="I14" s="3">
        <f t="shared" si="19"/>
        <v>-153.94999999999993</v>
      </c>
      <c r="J14" s="3">
        <f t="shared" si="19"/>
        <v>-15.768999999999926</v>
      </c>
      <c r="K14" s="3">
        <f t="shared" si="19"/>
        <v>140.88899999999995</v>
      </c>
      <c r="L14" s="3">
        <f t="shared" si="19"/>
        <v>99.304000000000002</v>
      </c>
      <c r="M14" s="3">
        <f t="shared" si="19"/>
        <v>215.77500000000055</v>
      </c>
      <c r="N14" s="3">
        <f t="shared" si="19"/>
        <v>144.7199999999998</v>
      </c>
      <c r="O14" s="3">
        <f t="shared" si="19"/>
        <v>131.60300000000012</v>
      </c>
      <c r="P14" s="3">
        <v>28700</v>
      </c>
      <c r="Z14" s="3">
        <f>+Z12-Z13</f>
        <v>1375.6389999999994</v>
      </c>
      <c r="AA14" s="3">
        <f>+AA12-AA13</f>
        <v>103.68899999999917</v>
      </c>
      <c r="AB14" s="3">
        <f>+AB12-AB13</f>
        <v>637.46200000000044</v>
      </c>
      <c r="AC14" s="3">
        <f t="shared" ref="AC14:AS14" si="20">+AC12-AC13</f>
        <v>639.02766750000023</v>
      </c>
      <c r="AD14" s="3">
        <f t="shared" si="20"/>
        <v>687.50903270624985</v>
      </c>
      <c r="AE14" s="3">
        <f t="shared" si="20"/>
        <v>738.27696546754692</v>
      </c>
      <c r="AF14" s="3">
        <f t="shared" si="20"/>
        <v>791.41854971173325</v>
      </c>
      <c r="AG14" s="3">
        <f t="shared" si="20"/>
        <v>847.02386545528043</v>
      </c>
      <c r="AH14" s="3">
        <f t="shared" si="20"/>
        <v>905.18608646110874</v>
      </c>
      <c r="AI14" s="3">
        <f t="shared" si="20"/>
        <v>966.00158098242241</v>
      </c>
      <c r="AJ14" s="3">
        <f t="shared" si="20"/>
        <v>1029.5700156882754</v>
      </c>
      <c r="AK14" s="3">
        <f t="shared" si="20"/>
        <v>1095.9944628695096</v>
      </c>
      <c r="AL14" s="3">
        <f t="shared" si="20"/>
        <v>1165.3815110267371</v>
      </c>
      <c r="AM14" s="3">
        <f t="shared" si="20"/>
        <v>1237.8413789451447</v>
      </c>
      <c r="AN14" s="3">
        <f t="shared" si="20"/>
        <v>1313.4880333641302</v>
      </c>
      <c r="AO14" s="3">
        <f t="shared" si="20"/>
        <v>1392.4393103530565</v>
      </c>
      <c r="AP14" s="3">
        <f t="shared" si="20"/>
        <v>1474.8170405078415</v>
      </c>
      <c r="AQ14" s="3">
        <f t="shared" si="20"/>
        <v>1560.7471780866094</v>
      </c>
      <c r="AR14" s="3">
        <f t="shared" si="20"/>
        <v>1650.3599342062323</v>
      </c>
      <c r="AS14" s="3">
        <f t="shared" si="20"/>
        <v>1743.7899142253539</v>
      </c>
      <c r="AT14" s="3">
        <f>+AS14*0.95</f>
        <v>1656.6004185140862</v>
      </c>
      <c r="AU14" s="3">
        <f t="shared" ref="AU14:BR14" si="21">+AT14*0.95</f>
        <v>1573.7703975883819</v>
      </c>
      <c r="AV14" s="3">
        <f t="shared" si="21"/>
        <v>1495.0818777089628</v>
      </c>
      <c r="AW14" s="3">
        <f t="shared" si="21"/>
        <v>1420.3277838235147</v>
      </c>
      <c r="AX14" s="3">
        <f t="shared" si="21"/>
        <v>1349.3113946323388</v>
      </c>
      <c r="AY14" s="3">
        <f t="shared" si="21"/>
        <v>1281.8458249007217</v>
      </c>
      <c r="AZ14" s="3">
        <f t="shared" si="21"/>
        <v>1217.7535336556855</v>
      </c>
      <c r="BA14" s="3">
        <f t="shared" si="21"/>
        <v>1156.8658569729012</v>
      </c>
      <c r="BB14" s="3">
        <f t="shared" si="21"/>
        <v>1099.022564124256</v>
      </c>
      <c r="BC14" s="3">
        <f t="shared" si="21"/>
        <v>1044.0714359180431</v>
      </c>
      <c r="BD14" s="3">
        <f t="shared" si="21"/>
        <v>991.86786412214087</v>
      </c>
      <c r="BE14" s="3">
        <f t="shared" si="21"/>
        <v>942.27447091603381</v>
      </c>
      <c r="BF14" s="3">
        <f t="shared" si="21"/>
        <v>895.16074737023212</v>
      </c>
      <c r="BG14" s="3">
        <f t="shared" si="21"/>
        <v>850.40271000172049</v>
      </c>
      <c r="BH14" s="3">
        <f t="shared" si="21"/>
        <v>807.88257450163439</v>
      </c>
      <c r="BI14" s="3">
        <f t="shared" si="21"/>
        <v>767.48844577655268</v>
      </c>
      <c r="BJ14" s="3">
        <f t="shared" si="21"/>
        <v>729.11402348772504</v>
      </c>
      <c r="BK14" s="3">
        <f t="shared" si="21"/>
        <v>692.65832231333877</v>
      </c>
      <c r="BL14" s="3">
        <f t="shared" si="21"/>
        <v>658.02540619767183</v>
      </c>
      <c r="BM14" s="3">
        <f t="shared" si="21"/>
        <v>625.12413588778816</v>
      </c>
      <c r="BN14" s="3">
        <f t="shared" si="21"/>
        <v>593.86792909339874</v>
      </c>
      <c r="BO14" s="3">
        <f t="shared" si="21"/>
        <v>564.17453263872881</v>
      </c>
      <c r="BP14" s="3">
        <f t="shared" si="21"/>
        <v>535.96580600679238</v>
      </c>
      <c r="BQ14" s="3">
        <f t="shared" si="21"/>
        <v>509.16751570645272</v>
      </c>
      <c r="BR14" s="3">
        <f t="shared" si="21"/>
        <v>483.70913992113009</v>
      </c>
    </row>
    <row r="15" spans="1:70" x14ac:dyDescent="0.25">
      <c r="A15" t="s">
        <v>42</v>
      </c>
      <c r="F15" s="4">
        <f t="shared" ref="F15:O15" si="22">+F14/F16</f>
        <v>0.40324308002245229</v>
      </c>
      <c r="G15" s="4">
        <f t="shared" si="22"/>
        <v>0.14194446615189721</v>
      </c>
      <c r="H15" s="4">
        <f t="shared" si="22"/>
        <v>0.18005865701578766</v>
      </c>
      <c r="I15" s="4">
        <f t="shared" si="22"/>
        <v>-0.51911834114393696</v>
      </c>
      <c r="J15" s="4">
        <f t="shared" si="22"/>
        <v>-5.3380191362823459E-2</v>
      </c>
      <c r="K15" s="4">
        <f t="shared" si="22"/>
        <v>0.47105344185201337</v>
      </c>
      <c r="L15" s="4">
        <f t="shared" si="22"/>
        <v>0.32828508511639776</v>
      </c>
      <c r="M15" s="4">
        <f t="shared" si="22"/>
        <v>0.71746074378336699</v>
      </c>
      <c r="N15" s="4">
        <f t="shared" si="22"/>
        <v>0.4688037808752813</v>
      </c>
      <c r="O15" s="4">
        <f t="shared" si="22"/>
        <v>0.42570981943984648</v>
      </c>
      <c r="P15" s="4"/>
      <c r="Q15" s="4"/>
      <c r="R15" s="4" t="s">
        <v>14</v>
      </c>
      <c r="S15" s="4"/>
      <c r="T15" s="4"/>
      <c r="U15" s="4"/>
      <c r="V15" s="4"/>
      <c r="W15" s="4"/>
      <c r="X15" s="4"/>
      <c r="Z15">
        <f>+Z14/Z16</f>
        <v>4.642176901381041</v>
      </c>
      <c r="AA15" s="4">
        <f>+AA14/AA16</f>
        <v>0.34859362095761154</v>
      </c>
      <c r="AB15" s="4">
        <f>+AB14/AB16</f>
        <v>2.1288756141657776</v>
      </c>
      <c r="AC15" s="4">
        <f t="shared" ref="AC15:AS15" si="23">+AC14/AC16</f>
        <v>2.1341043358160747</v>
      </c>
      <c r="AD15" s="4">
        <f t="shared" si="23"/>
        <v>2.2960132749042867</v>
      </c>
      <c r="AE15" s="4">
        <f t="shared" si="23"/>
        <v>2.4655584619697639</v>
      </c>
      <c r="AF15" s="4">
        <f t="shared" si="23"/>
        <v>2.6430307235250949</v>
      </c>
      <c r="AG15" s="4">
        <f t="shared" si="23"/>
        <v>2.828730891855797</v>
      </c>
      <c r="AH15" s="4">
        <f t="shared" si="23"/>
        <v>3.0229701311595174</v>
      </c>
      <c r="AI15" s="4">
        <f t="shared" si="23"/>
        <v>3.2260702739913367</v>
      </c>
      <c r="AJ15" s="4">
        <f t="shared" si="23"/>
        <v>3.438364168334811</v>
      </c>
      <c r="AK15" s="4">
        <f t="shared" si="23"/>
        <v>3.6601960356281902</v>
      </c>
      <c r="AL15" s="4">
        <f t="shared" si="23"/>
        <v>3.891921840085347</v>
      </c>
      <c r="AM15" s="4">
        <f t="shared" si="23"/>
        <v>4.1339096696613389</v>
      </c>
      <c r="AN15" s="4">
        <f t="shared" si="23"/>
        <v>4.3865401290233148</v>
      </c>
      <c r="AO15" s="4">
        <f t="shared" si="23"/>
        <v>4.6502067448984148</v>
      </c>
      <c r="AP15" s="4">
        <f t="shared" si="23"/>
        <v>4.9253163841817766</v>
      </c>
      <c r="AQ15" s="4">
        <f t="shared" si="23"/>
        <v>5.2122896851994831</v>
      </c>
      <c r="AR15" s="4">
        <f t="shared" si="23"/>
        <v>5.5115615025333007</v>
      </c>
      <c r="AS15" s="4">
        <f t="shared" si="23"/>
        <v>5.823581365826648</v>
      </c>
    </row>
    <row r="16" spans="1:70" x14ac:dyDescent="0.25">
      <c r="A16" t="s">
        <v>4</v>
      </c>
      <c r="F16">
        <v>299.14710500000001</v>
      </c>
      <c r="G16">
        <v>298.55337900000001</v>
      </c>
      <c r="H16">
        <v>295.53702600000003</v>
      </c>
      <c r="I16">
        <v>296.56051000000002</v>
      </c>
      <c r="J16">
        <v>295.40920699999998</v>
      </c>
      <c r="K16">
        <v>299.09345200000001</v>
      </c>
      <c r="L16">
        <v>302.49318199999999</v>
      </c>
      <c r="M16">
        <v>300.74816199999998</v>
      </c>
      <c r="N16">
        <v>308.700582</v>
      </c>
      <c r="O16">
        <v>309.13780700000001</v>
      </c>
      <c r="Z16">
        <v>296.33489400000002</v>
      </c>
      <c r="AA16">
        <f>AVERAGE(F16:I16)</f>
        <v>297.44950499999999</v>
      </c>
      <c r="AB16">
        <f>AVERAGE(J16:M16)</f>
        <v>299.43600074999995</v>
      </c>
      <c r="AC16">
        <f>+AB16</f>
        <v>299.43600074999995</v>
      </c>
      <c r="AD16">
        <f t="shared" ref="AD16:AS16" si="24">+AC16</f>
        <v>299.43600074999995</v>
      </c>
      <c r="AE16">
        <f t="shared" si="24"/>
        <v>299.43600074999995</v>
      </c>
      <c r="AF16">
        <f t="shared" si="24"/>
        <v>299.43600074999995</v>
      </c>
      <c r="AG16">
        <f t="shared" si="24"/>
        <v>299.43600074999995</v>
      </c>
      <c r="AH16">
        <f t="shared" si="24"/>
        <v>299.43600074999995</v>
      </c>
      <c r="AI16">
        <f t="shared" si="24"/>
        <v>299.43600074999995</v>
      </c>
      <c r="AJ16">
        <f t="shared" si="24"/>
        <v>299.43600074999995</v>
      </c>
      <c r="AK16">
        <f t="shared" si="24"/>
        <v>299.43600074999995</v>
      </c>
      <c r="AL16">
        <f t="shared" si="24"/>
        <v>299.43600074999995</v>
      </c>
      <c r="AM16">
        <f t="shared" si="24"/>
        <v>299.43600074999995</v>
      </c>
      <c r="AN16">
        <f t="shared" si="24"/>
        <v>299.43600074999995</v>
      </c>
      <c r="AO16">
        <f t="shared" si="24"/>
        <v>299.43600074999995</v>
      </c>
      <c r="AP16">
        <f t="shared" si="24"/>
        <v>299.43600074999995</v>
      </c>
      <c r="AQ16">
        <f t="shared" si="24"/>
        <v>299.43600074999995</v>
      </c>
      <c r="AR16">
        <f t="shared" si="24"/>
        <v>299.43600074999995</v>
      </c>
      <c r="AS16">
        <f t="shared" si="24"/>
        <v>299.43600074999995</v>
      </c>
    </row>
    <row r="17" spans="1:45" x14ac:dyDescent="0.25">
      <c r="AC17" t="s">
        <v>14</v>
      </c>
    </row>
    <row r="18" spans="1:45" x14ac:dyDescent="0.25">
      <c r="A18" t="s">
        <v>43</v>
      </c>
      <c r="F18" s="5">
        <f t="shared" ref="F18:O18" si="25">+F4/F2</f>
        <v>0.75617340286831813</v>
      </c>
      <c r="G18" s="5">
        <f t="shared" si="25"/>
        <v>0.75114010721646485</v>
      </c>
      <c r="H18" s="5">
        <f t="shared" si="25"/>
        <v>0.75436496448404078</v>
      </c>
      <c r="I18" s="5">
        <f t="shared" si="25"/>
        <v>0.73666737341016253</v>
      </c>
      <c r="J18" s="5">
        <f t="shared" si="25"/>
        <v>0.76121259603171443</v>
      </c>
      <c r="K18" s="5">
        <f t="shared" si="25"/>
        <v>0.7659044363804981</v>
      </c>
      <c r="L18" s="5">
        <f t="shared" si="25"/>
        <v>0.76160678861327302</v>
      </c>
      <c r="M18" s="5">
        <f t="shared" si="25"/>
        <v>0.75899052472094486</v>
      </c>
      <c r="N18" s="5">
        <f t="shared" si="25"/>
        <v>0.76052062942393928</v>
      </c>
      <c r="O18" s="5">
        <f t="shared" si="25"/>
        <v>0.75476636961084542</v>
      </c>
      <c r="P18" s="5"/>
      <c r="Q18" s="5"/>
      <c r="R18" s="5"/>
      <c r="S18" s="5"/>
      <c r="T18" s="5"/>
      <c r="U18" s="5"/>
      <c r="V18" s="5"/>
      <c r="W18" s="5"/>
      <c r="Z18" s="5">
        <f t="shared" ref="Z18:AS18" si="26">+Z4/Z2</f>
        <v>0.74278317524678861</v>
      </c>
      <c r="AA18" s="5">
        <f t="shared" si="26"/>
        <v>0.74949669471153846</v>
      </c>
      <c r="AB18" s="5">
        <f t="shared" si="26"/>
        <v>0.76192894365288755</v>
      </c>
      <c r="AC18" s="5">
        <f t="shared" si="26"/>
        <v>0.7642403131319857</v>
      </c>
      <c r="AD18" s="5">
        <f t="shared" si="26"/>
        <v>0.76652924213070428</v>
      </c>
      <c r="AE18" s="5">
        <f t="shared" si="26"/>
        <v>0.76879594851778488</v>
      </c>
      <c r="AF18" s="5">
        <f t="shared" si="26"/>
        <v>0.77104064804673833</v>
      </c>
      <c r="AG18" s="5">
        <f t="shared" si="26"/>
        <v>0.77326355437638172</v>
      </c>
      <c r="AH18" s="5">
        <f t="shared" si="26"/>
        <v>0.77546487909117412</v>
      </c>
      <c r="AI18" s="5">
        <f t="shared" si="26"/>
        <v>0.7776448317213569</v>
      </c>
      <c r="AJ18" s="5">
        <f t="shared" si="26"/>
        <v>0.77980361976289714</v>
      </c>
      <c r="AK18" s="5">
        <f t="shared" si="26"/>
        <v>0.78194144869723781</v>
      </c>
      <c r="AL18" s="5">
        <f t="shared" si="26"/>
        <v>0.78405852201085691</v>
      </c>
      <c r="AM18" s="5">
        <f t="shared" si="26"/>
        <v>0.78615504121463509</v>
      </c>
      <c r="AN18" s="5">
        <f t="shared" si="26"/>
        <v>0.78823120586303663</v>
      </c>
      <c r="AO18" s="5">
        <f t="shared" si="26"/>
        <v>0.79028721357310427</v>
      </c>
      <c r="AP18" s="5">
        <f t="shared" si="26"/>
        <v>0.79232326004326825</v>
      </c>
      <c r="AQ18" s="5">
        <f t="shared" si="26"/>
        <v>0.79433953907197441</v>
      </c>
      <c r="AR18" s="5">
        <f t="shared" si="26"/>
        <v>0.79633624257613</v>
      </c>
      <c r="AS18" s="5">
        <f t="shared" si="26"/>
        <v>0.79831356060937153</v>
      </c>
    </row>
    <row r="19" spans="1:45" x14ac:dyDescent="0.25">
      <c r="A19" t="s">
        <v>44</v>
      </c>
      <c r="F19" s="5">
        <f t="shared" ref="F19:O19" si="27">+F5/F2</f>
        <v>0.134374185136897</v>
      </c>
      <c r="G19" s="5">
        <f t="shared" si="27"/>
        <v>0.15695369900441852</v>
      </c>
      <c r="H19" s="5">
        <f t="shared" si="27"/>
        <v>0.17782573538954116</v>
      </c>
      <c r="I19" s="5">
        <f t="shared" si="27"/>
        <v>0.23372454716976074</v>
      </c>
      <c r="J19" s="5">
        <f t="shared" si="27"/>
        <v>0.18932315508737391</v>
      </c>
      <c r="K19" s="5">
        <f t="shared" si="27"/>
        <v>0.16844299871078341</v>
      </c>
      <c r="L19" s="5">
        <f t="shared" si="27"/>
        <v>0.17315679138438692</v>
      </c>
      <c r="M19" s="5">
        <f t="shared" si="27"/>
        <v>0.17905774049964371</v>
      </c>
      <c r="N19" s="5">
        <f t="shared" si="27"/>
        <v>0.18011906410078915</v>
      </c>
      <c r="O19" s="5">
        <f t="shared" si="27"/>
        <v>0.17785156384406289</v>
      </c>
      <c r="P19" s="5"/>
      <c r="Q19" s="5"/>
      <c r="T19" s="5"/>
      <c r="U19" s="5"/>
      <c r="V19" s="5"/>
      <c r="W19" s="5"/>
      <c r="Z19" s="5">
        <f t="shared" ref="Z19:AS19" si="28">+Z5/Z2</f>
        <v>8.8537083181295786E-2</v>
      </c>
      <c r="AA19" s="5">
        <f t="shared" si="28"/>
        <v>0.17620442708333339</v>
      </c>
      <c r="AB19" s="5">
        <f t="shared" si="28"/>
        <v>0.17741269263460346</v>
      </c>
      <c r="AC19" s="5">
        <f t="shared" si="28"/>
        <v>0.17569023930805391</v>
      </c>
      <c r="AD19" s="5">
        <f t="shared" si="28"/>
        <v>0.17398450882933497</v>
      </c>
      <c r="AE19" s="5">
        <f t="shared" si="28"/>
        <v>0.17229533884070064</v>
      </c>
      <c r="AF19" s="5">
        <f t="shared" si="28"/>
        <v>0.17062256856069385</v>
      </c>
      <c r="AG19" s="5">
        <f t="shared" si="28"/>
        <v>0.16896603876884245</v>
      </c>
      <c r="AH19" s="5">
        <f t="shared" si="28"/>
        <v>0.16732559179050416</v>
      </c>
      <c r="AI19" s="5">
        <f t="shared" si="28"/>
        <v>0.16570107148185848</v>
      </c>
      <c r="AJ19" s="5">
        <f t="shared" si="28"/>
        <v>0.1640923232150443</v>
      </c>
      <c r="AK19" s="5">
        <f t="shared" si="28"/>
        <v>0.16249919386344194</v>
      </c>
      <c r="AL19" s="5">
        <f t="shared" si="28"/>
        <v>0.16092153178709784</v>
      </c>
      <c r="AM19" s="5">
        <f t="shared" si="28"/>
        <v>0.15935918681829106</v>
      </c>
      <c r="AN19" s="5">
        <f t="shared" si="28"/>
        <v>0.1578120102472397</v>
      </c>
      <c r="AO19" s="5">
        <f t="shared" si="28"/>
        <v>0.15627985480794612</v>
      </c>
      <c r="AP19" s="5">
        <f t="shared" si="28"/>
        <v>0.15476257466417964</v>
      </c>
      <c r="AQ19" s="5">
        <f t="shared" si="28"/>
        <v>0.15326002539559538</v>
      </c>
      <c r="AR19" s="5">
        <f t="shared" si="28"/>
        <v>0.15177206398398765</v>
      </c>
      <c r="AS19" s="5">
        <f t="shared" si="28"/>
        <v>0.15029854879967711</v>
      </c>
    </row>
    <row r="20" spans="1:45" x14ac:dyDescent="0.25">
      <c r="A20" t="s">
        <v>45</v>
      </c>
      <c r="F20" s="5">
        <f t="shared" ref="F20:O20" si="29">+F6/F2</f>
        <v>0.33784969268020121</v>
      </c>
      <c r="G20" s="5">
        <f t="shared" si="29"/>
        <v>0.36424674703353832</v>
      </c>
      <c r="H20" s="5">
        <f t="shared" si="29"/>
        <v>0.38819075069493669</v>
      </c>
      <c r="I20" s="5">
        <f t="shared" si="29"/>
        <v>0.45230331283777186</v>
      </c>
      <c r="J20" s="5">
        <f t="shared" si="29"/>
        <v>0.38223064981309324</v>
      </c>
      <c r="K20" s="5">
        <f t="shared" si="29"/>
        <v>0.32790100081146878</v>
      </c>
      <c r="L20" s="5">
        <f t="shared" si="29"/>
        <v>0.32934732789843119</v>
      </c>
      <c r="M20" s="5">
        <f t="shared" si="29"/>
        <v>0.32365103968138342</v>
      </c>
      <c r="N20" s="5">
        <f t="shared" si="29"/>
        <v>0.30494009116447635</v>
      </c>
      <c r="O20" s="5">
        <f t="shared" si="29"/>
        <v>0.30861404534975739</v>
      </c>
      <c r="P20" s="5"/>
      <c r="Q20" s="5"/>
      <c r="T20" s="5"/>
      <c r="U20" s="5"/>
      <c r="V20" s="5"/>
      <c r="W20" s="5"/>
      <c r="Z20" s="5">
        <f t="shared" ref="Z20:AS20" si="30">+Z6/Z2</f>
        <v>0.27707236142467168</v>
      </c>
      <c r="AA20" s="5">
        <f t="shared" si="30"/>
        <v>0.38620656687062943</v>
      </c>
      <c r="AB20" s="5">
        <f t="shared" si="30"/>
        <v>0.3404530016628291</v>
      </c>
      <c r="AC20" s="5">
        <f t="shared" si="30"/>
        <v>0.33714763271464632</v>
      </c>
      <c r="AD20" s="5">
        <f t="shared" si="30"/>
        <v>0.33387435472712551</v>
      </c>
      <c r="AE20" s="5">
        <f t="shared" si="30"/>
        <v>0.33063285613754179</v>
      </c>
      <c r="AF20" s="5">
        <f t="shared" si="30"/>
        <v>0.32742282840805109</v>
      </c>
      <c r="AG20" s="5">
        <f t="shared" si="30"/>
        <v>0.32424396599632244</v>
      </c>
      <c r="AH20" s="5">
        <f t="shared" si="30"/>
        <v>0.32109596632645521</v>
      </c>
      <c r="AI20" s="5">
        <f t="shared" si="30"/>
        <v>0.31797852976017893</v>
      </c>
      <c r="AJ20" s="5">
        <f t="shared" si="30"/>
        <v>0.31489135956833253</v>
      </c>
      <c r="AK20" s="5">
        <f t="shared" si="30"/>
        <v>0.31183416190262059</v>
      </c>
      <c r="AL20" s="5">
        <f t="shared" si="30"/>
        <v>0.30880664576764366</v>
      </c>
      <c r="AM20" s="5">
        <f t="shared" si="30"/>
        <v>0.30580852299320055</v>
      </c>
      <c r="AN20" s="5">
        <f t="shared" si="30"/>
        <v>0.30283950820685879</v>
      </c>
      <c r="AO20" s="5">
        <f t="shared" si="30"/>
        <v>0.29989931880679221</v>
      </c>
      <c r="AP20" s="5">
        <f t="shared" si="30"/>
        <v>0.29698767493488154</v>
      </c>
      <c r="AQ20" s="5">
        <f t="shared" si="30"/>
        <v>0.29410429945007688</v>
      </c>
      <c r="AR20" s="5">
        <f t="shared" si="30"/>
        <v>0.2912489179020179</v>
      </c>
      <c r="AS20" s="5">
        <f t="shared" si="30"/>
        <v>0.2884212585049109</v>
      </c>
    </row>
    <row r="21" spans="1:45" x14ac:dyDescent="0.25">
      <c r="A21" t="s">
        <v>46</v>
      </c>
      <c r="F21" s="5">
        <f t="shared" ref="F21:O21" si="31">+F7/F2</f>
        <v>0.10974110635127585</v>
      </c>
      <c r="G21" s="5">
        <f t="shared" si="31"/>
        <v>0.11920964693512622</v>
      </c>
      <c r="H21" s="5">
        <f t="shared" si="31"/>
        <v>0.1279908594163349</v>
      </c>
      <c r="I21" s="5">
        <f t="shared" si="31"/>
        <v>0.1668379848685323</v>
      </c>
      <c r="J21" s="5">
        <f t="shared" si="31"/>
        <v>0.18084540477164082</v>
      </c>
      <c r="K21" s="5">
        <f t="shared" si="31"/>
        <v>0.11357401051747822</v>
      </c>
      <c r="L21" s="5">
        <f t="shared" si="31"/>
        <v>0.11008799826167584</v>
      </c>
      <c r="M21" s="5">
        <f t="shared" si="31"/>
        <v>0.10928102842060362</v>
      </c>
      <c r="N21" s="5">
        <f t="shared" si="31"/>
        <v>9.7564566074967968E-2</v>
      </c>
      <c r="O21" s="5">
        <f t="shared" si="31"/>
        <v>9.422203488972232E-2</v>
      </c>
      <c r="P21" s="5"/>
      <c r="Q21" s="5"/>
      <c r="T21" s="5"/>
      <c r="U21" s="5"/>
      <c r="V21" s="5"/>
      <c r="W21" s="5" t="s">
        <v>14</v>
      </c>
      <c r="X21" s="5" t="s">
        <v>14</v>
      </c>
      <c r="Y21" s="5" t="s">
        <v>14</v>
      </c>
      <c r="Z21" s="5">
        <f t="shared" ref="Z21:AS21" si="32">+Z7/Z2</f>
        <v>0.11775268643057429</v>
      </c>
      <c r="AA21" s="5">
        <f t="shared" si="32"/>
        <v>0.13121699264277389</v>
      </c>
      <c r="AB21" s="5">
        <f t="shared" si="32"/>
        <v>0.12803651862598359</v>
      </c>
      <c r="AC21" s="5">
        <f t="shared" si="32"/>
        <v>0.12679344562961481</v>
      </c>
      <c r="AD21" s="5">
        <f t="shared" si="32"/>
        <v>0.12556244130311373</v>
      </c>
      <c r="AE21" s="5">
        <f t="shared" si="32"/>
        <v>0.12434338847492814</v>
      </c>
      <c r="AF21" s="5">
        <f t="shared" si="32"/>
        <v>0.1231361711110939</v>
      </c>
      <c r="AG21" s="5">
        <f t="shared" si="32"/>
        <v>0.12194067430419009</v>
      </c>
      <c r="AH21" s="5">
        <f t="shared" si="32"/>
        <v>0.12075678426240183</v>
      </c>
      <c r="AI21" s="5">
        <f t="shared" si="32"/>
        <v>0.11958438829868918</v>
      </c>
      <c r="AJ21" s="5">
        <f t="shared" si="32"/>
        <v>0.11842337482006114</v>
      </c>
      <c r="AK21" s="5">
        <f t="shared" si="32"/>
        <v>0.11727363331695376</v>
      </c>
      <c r="AL21" s="5">
        <f t="shared" si="32"/>
        <v>0.11613505435271147</v>
      </c>
      <c r="AM21" s="5">
        <f t="shared" si="32"/>
        <v>0.11500752955317058</v>
      </c>
      <c r="AN21" s="5">
        <f t="shared" si="32"/>
        <v>0.11389095159634367</v>
      </c>
      <c r="AO21" s="5">
        <f t="shared" si="32"/>
        <v>0.11278521420220441</v>
      </c>
      <c r="AP21" s="5">
        <f t="shared" si="32"/>
        <v>0.11169021212257135</v>
      </c>
      <c r="AQ21" s="5">
        <f t="shared" si="32"/>
        <v>0.11060584113109008</v>
      </c>
      <c r="AR21" s="5">
        <f t="shared" si="32"/>
        <v>0.10953199801331252</v>
      </c>
      <c r="AS21" s="5">
        <f t="shared" si="32"/>
        <v>0.1084685805568726</v>
      </c>
    </row>
    <row r="22" spans="1:45" x14ac:dyDescent="0.25">
      <c r="A22" t="s">
        <v>47</v>
      </c>
      <c r="F22" s="5">
        <f t="shared" ref="F22:O22" si="33">+F9/F2</f>
        <v>0.17420841869994408</v>
      </c>
      <c r="G22" s="5">
        <f t="shared" si="33"/>
        <v>0.11073001424338177</v>
      </c>
      <c r="H22" s="5">
        <f t="shared" si="33"/>
        <v>6.035761898322798E-2</v>
      </c>
      <c r="I22" s="5">
        <f t="shared" si="33"/>
        <v>-0.11619847146590227</v>
      </c>
      <c r="J22" s="5">
        <f t="shared" si="33"/>
        <v>8.8133863596064968E-3</v>
      </c>
      <c r="K22" s="5">
        <f t="shared" si="33"/>
        <v>0.15598642634076765</v>
      </c>
      <c r="L22" s="5">
        <f t="shared" si="33"/>
        <v>0.14901467106877905</v>
      </c>
      <c r="M22" s="5">
        <f t="shared" si="33"/>
        <v>0.14700071611931415</v>
      </c>
      <c r="N22" s="5">
        <f t="shared" si="33"/>
        <v>0.17789690808370573</v>
      </c>
      <c r="O22" s="5">
        <f t="shared" si="33"/>
        <v>0.17407872552730286</v>
      </c>
      <c r="P22" s="5"/>
      <c r="Q22" s="5"/>
      <c r="T22" s="5"/>
      <c r="U22" s="5"/>
      <c r="V22" s="5"/>
      <c r="W22" s="5"/>
      <c r="Z22" s="5">
        <f t="shared" ref="Z22:AS22" si="34">+Z9/Z2</f>
        <v>0.25942104421024687</v>
      </c>
      <c r="AA22" s="5">
        <f t="shared" si="34"/>
        <v>5.5868708114801692E-2</v>
      </c>
      <c r="AB22" s="5">
        <f t="shared" si="34"/>
        <v>0.11602673072947139</v>
      </c>
      <c r="AC22" s="5">
        <f t="shared" si="34"/>
        <v>0.12460899547967066</v>
      </c>
      <c r="AD22" s="5">
        <f t="shared" si="34"/>
        <v>0.13310793727113004</v>
      </c>
      <c r="AE22" s="5">
        <f t="shared" si="34"/>
        <v>0.1415243650646143</v>
      </c>
      <c r="AF22" s="5">
        <f t="shared" si="34"/>
        <v>0.14985907996689951</v>
      </c>
      <c r="AG22" s="5">
        <f t="shared" si="34"/>
        <v>0.15811287530702667</v>
      </c>
      <c r="AH22" s="5">
        <f t="shared" si="34"/>
        <v>0.1662865367118129</v>
      </c>
      <c r="AI22" s="5">
        <f t="shared" si="34"/>
        <v>0.1743808421806303</v>
      </c>
      <c r="AJ22" s="5">
        <f t="shared" si="34"/>
        <v>0.18239656215945907</v>
      </c>
      <c r="AK22" s="5">
        <f t="shared" si="34"/>
        <v>0.19033445961422152</v>
      </c>
      <c r="AL22" s="5">
        <f t="shared" si="34"/>
        <v>0.198195290103404</v>
      </c>
      <c r="AM22" s="5">
        <f t="shared" si="34"/>
        <v>0.20597980184997286</v>
      </c>
      <c r="AN22" s="5">
        <f t="shared" si="34"/>
        <v>0.21368873581259443</v>
      </c>
      <c r="AO22" s="5">
        <f t="shared" si="34"/>
        <v>0.2213228257561615</v>
      </c>
      <c r="AP22" s="5">
        <f t="shared" si="34"/>
        <v>0.22888279832163561</v>
      </c>
      <c r="AQ22" s="5">
        <f t="shared" si="34"/>
        <v>0.23636937309521214</v>
      </c>
      <c r="AR22" s="5">
        <f t="shared" si="34"/>
        <v>0.24378326267681194</v>
      </c>
      <c r="AS22" s="5">
        <f t="shared" si="34"/>
        <v>0.25112517274791085</v>
      </c>
    </row>
    <row r="23" spans="1:45" x14ac:dyDescent="0.25">
      <c r="A23" t="s">
        <v>48</v>
      </c>
      <c r="F23" s="5">
        <f t="shared" ref="F23:O23" si="35">+F14/F2</f>
        <v>0.11233842428757679</v>
      </c>
      <c r="G23" s="5">
        <f t="shared" si="35"/>
        <v>3.8544446445430418E-2</v>
      </c>
      <c r="H23" s="5">
        <f t="shared" si="35"/>
        <v>4.8292992370444057E-2</v>
      </c>
      <c r="I23" s="5">
        <f t="shared" si="35"/>
        <v>-0.13772552050763859</v>
      </c>
      <c r="J23" s="5">
        <f t="shared" si="35"/>
        <v>-1.4265888883661785E-2</v>
      </c>
      <c r="K23" s="5">
        <f t="shared" si="35"/>
        <v>0.12373054319226888</v>
      </c>
      <c r="L23" s="5">
        <f t="shared" si="35"/>
        <v>8.7359585898812986E-2</v>
      </c>
      <c r="M23" s="5">
        <f t="shared" si="35"/>
        <v>0.18821028612499249</v>
      </c>
      <c r="N23" s="5">
        <f t="shared" si="35"/>
        <v>0.1268101020474327</v>
      </c>
      <c r="O23" s="5">
        <f t="shared" si="35"/>
        <v>0.1132049341086606</v>
      </c>
      <c r="P23" s="5"/>
      <c r="Q23" s="5"/>
      <c r="T23" s="5"/>
      <c r="U23" s="5"/>
      <c r="V23" s="5"/>
      <c r="W23" s="5"/>
      <c r="Z23" s="5">
        <f>+Z14/Z2</f>
        <v>0.33553283718679439</v>
      </c>
      <c r="AA23" s="5">
        <f>+AA14/AA2</f>
        <v>2.3603447333915898E-2</v>
      </c>
      <c r="AB23" s="5">
        <v>0.04</v>
      </c>
      <c r="AC23" s="5">
        <v>0.04</v>
      </c>
      <c r="AD23" s="5">
        <v>0.04</v>
      </c>
      <c r="AE23" s="5">
        <v>0.04</v>
      </c>
      <c r="AF23" s="5">
        <v>0.04</v>
      </c>
      <c r="AG23" s="5">
        <v>0.04</v>
      </c>
      <c r="AH23" s="5">
        <v>0.04</v>
      </c>
      <c r="AI23" s="5">
        <v>0.04</v>
      </c>
      <c r="AJ23" s="5">
        <v>0.04</v>
      </c>
      <c r="AK23" s="5">
        <v>0.04</v>
      </c>
      <c r="AL23" s="5">
        <v>0.04</v>
      </c>
      <c r="AM23" s="5">
        <v>0.04</v>
      </c>
      <c r="AN23" s="5">
        <v>0.04</v>
      </c>
      <c r="AO23" s="5">
        <v>0.04</v>
      </c>
      <c r="AP23" s="5">
        <v>0.04</v>
      </c>
      <c r="AQ23" s="5">
        <v>0.04</v>
      </c>
      <c r="AR23" s="5">
        <v>0.04</v>
      </c>
      <c r="AS23" s="5">
        <v>0.04</v>
      </c>
    </row>
    <row r="24" spans="1:45" x14ac:dyDescent="0.25">
      <c r="A24" t="s">
        <v>49</v>
      </c>
      <c r="F24" s="5">
        <f>+F13/F12</f>
        <v>0.19923926103436609</v>
      </c>
      <c r="G24" s="5">
        <f t="shared" ref="G24:N24" si="36">+G13/G12</f>
        <v>0.51304767485952607</v>
      </c>
      <c r="H24" s="5">
        <f t="shared" si="36"/>
        <v>0.10729743331655775</v>
      </c>
      <c r="I24" s="5">
        <f t="shared" si="36"/>
        <v>-0.72118867671392195</v>
      </c>
      <c r="J24" s="5">
        <f t="shared" si="36"/>
        <v>2.3122243488391301</v>
      </c>
      <c r="K24" s="5">
        <f t="shared" si="36"/>
        <v>0.32681759107067782</v>
      </c>
      <c r="L24" s="5">
        <f t="shared" si="36"/>
        <v>0.3099959699273197</v>
      </c>
      <c r="M24" s="5">
        <f t="shared" si="36"/>
        <v>0.20031798269996179</v>
      </c>
      <c r="N24" s="5">
        <f t="shared" si="36"/>
        <v>0.34330417105310956</v>
      </c>
      <c r="O24" s="5">
        <f>+O13/O12</f>
        <v>0.35952442365812209</v>
      </c>
      <c r="P24" s="5"/>
      <c r="Q24" s="5"/>
      <c r="T24" s="5"/>
      <c r="U24" s="5"/>
      <c r="V24" s="5"/>
      <c r="W24" s="5"/>
      <c r="Z24" s="5">
        <f t="shared" ref="Z24:AS24" si="37">+Z13/Z12</f>
        <v>-0.24872825045024125</v>
      </c>
      <c r="AA24" s="5">
        <f t="shared" si="37"/>
        <v>0.5840026639492264</v>
      </c>
      <c r="AB24" s="5">
        <f t="shared" si="37"/>
        <v>0.23410692144292031</v>
      </c>
      <c r="AC24" s="5">
        <f t="shared" si="37"/>
        <v>0.25</v>
      </c>
      <c r="AD24" s="5">
        <f t="shared" si="37"/>
        <v>0.25</v>
      </c>
      <c r="AE24" s="5">
        <f t="shared" si="37"/>
        <v>0.25</v>
      </c>
      <c r="AF24" s="5">
        <f t="shared" si="37"/>
        <v>0.25</v>
      </c>
      <c r="AG24" s="5">
        <f t="shared" si="37"/>
        <v>0.25</v>
      </c>
      <c r="AH24" s="5">
        <f t="shared" si="37"/>
        <v>0.25</v>
      </c>
      <c r="AI24" s="5">
        <f t="shared" si="37"/>
        <v>0.25</v>
      </c>
      <c r="AJ24" s="5">
        <f t="shared" si="37"/>
        <v>0.25</v>
      </c>
      <c r="AK24" s="5">
        <f t="shared" si="37"/>
        <v>0.25</v>
      </c>
      <c r="AL24" s="5">
        <f t="shared" si="37"/>
        <v>0.25</v>
      </c>
      <c r="AM24" s="5">
        <f t="shared" si="37"/>
        <v>0.25</v>
      </c>
      <c r="AN24" s="5">
        <f t="shared" si="37"/>
        <v>0.25</v>
      </c>
      <c r="AO24" s="5">
        <f t="shared" si="37"/>
        <v>0.25</v>
      </c>
      <c r="AP24" s="5">
        <f t="shared" si="37"/>
        <v>0.25</v>
      </c>
      <c r="AQ24" s="5">
        <f t="shared" si="37"/>
        <v>0.25</v>
      </c>
      <c r="AR24" s="5">
        <f t="shared" si="37"/>
        <v>0.25</v>
      </c>
      <c r="AS24" s="5">
        <f t="shared" si="37"/>
        <v>0.25</v>
      </c>
    </row>
    <row r="25" spans="1:45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T25" s="5"/>
      <c r="U25" s="5"/>
      <c r="V25" s="5"/>
      <c r="W25" s="5"/>
      <c r="Z25" s="5"/>
      <c r="AA25" s="5"/>
      <c r="AB25" s="5"/>
    </row>
    <row r="26" spans="1:45" x14ac:dyDescent="0.25">
      <c r="A26" t="s">
        <v>50</v>
      </c>
      <c r="F26" s="5"/>
      <c r="G26" s="5"/>
      <c r="H26" s="5"/>
      <c r="I26" s="5"/>
      <c r="J26" s="5">
        <f t="shared" ref="J26:O26" si="38">+J2/F2-1</f>
        <v>2.9394673123486648E-2</v>
      </c>
      <c r="K26" s="5">
        <f t="shared" si="38"/>
        <v>3.5670303003843662E-2</v>
      </c>
      <c r="L26" s="5">
        <f t="shared" si="38"/>
        <v>3.1607252570335476E-2</v>
      </c>
      <c r="M26" s="5">
        <f t="shared" si="38"/>
        <v>2.5634212826410652E-2</v>
      </c>
      <c r="N26" s="5">
        <f t="shared" si="38"/>
        <v>3.2450848770178675E-2</v>
      </c>
      <c r="O26" s="5">
        <f t="shared" si="38"/>
        <v>2.0940109390204187E-2</v>
      </c>
      <c r="P26" s="5"/>
      <c r="Q26" s="5"/>
      <c r="T26" s="5"/>
      <c r="U26" s="5"/>
      <c r="V26" s="5"/>
      <c r="W26" s="5"/>
      <c r="Z26" s="5" t="s">
        <v>14</v>
      </c>
      <c r="AA26" s="5">
        <f t="shared" ref="AA26:AS26" si="39">+AA2/Z2-1</f>
        <v>7.1489200617386173E-2</v>
      </c>
      <c r="AB26" s="5">
        <f t="shared" si="39"/>
        <v>3.056344696969715E-2</v>
      </c>
      <c r="AC26" s="5">
        <f t="shared" si="39"/>
        <v>3.0000000000000027E-2</v>
      </c>
      <c r="AD26" s="5">
        <f t="shared" si="39"/>
        <v>3.0000000000000027E-2</v>
      </c>
      <c r="AE26" s="5">
        <f t="shared" si="39"/>
        <v>3.0000000000000027E-2</v>
      </c>
      <c r="AF26" s="5">
        <f t="shared" si="39"/>
        <v>3.0000000000000027E-2</v>
      </c>
      <c r="AG26" s="5">
        <f t="shared" si="39"/>
        <v>3.0000000000000027E-2</v>
      </c>
      <c r="AH26" s="5">
        <f t="shared" si="39"/>
        <v>3.0000000000000027E-2</v>
      </c>
      <c r="AI26" s="5">
        <f t="shared" si="39"/>
        <v>3.0000000000000027E-2</v>
      </c>
      <c r="AJ26" s="5">
        <f t="shared" si="39"/>
        <v>3.0000000000000027E-2</v>
      </c>
      <c r="AK26" s="5">
        <f t="shared" si="39"/>
        <v>3.0000000000000027E-2</v>
      </c>
      <c r="AL26" s="5">
        <f t="shared" si="39"/>
        <v>3.0000000000000027E-2</v>
      </c>
      <c r="AM26" s="5">
        <f t="shared" si="39"/>
        <v>3.0000000000000027E-2</v>
      </c>
      <c r="AN26" s="5">
        <f t="shared" si="39"/>
        <v>3.0000000000000027E-2</v>
      </c>
      <c r="AO26" s="5">
        <f t="shared" si="39"/>
        <v>3.0000000000000027E-2</v>
      </c>
      <c r="AP26" s="5">
        <f t="shared" si="39"/>
        <v>3.0000000000000027E-2</v>
      </c>
      <c r="AQ26" s="5">
        <f t="shared" si="39"/>
        <v>3.0000000000000027E-2</v>
      </c>
      <c r="AR26" s="5">
        <f t="shared" si="39"/>
        <v>3.0000000000000027E-2</v>
      </c>
      <c r="AS26" s="5">
        <f t="shared" si="39"/>
        <v>3.0000000000000027E-2</v>
      </c>
    </row>
    <row r="28" spans="1:45" x14ac:dyDescent="0.25">
      <c r="A28" t="s">
        <v>51</v>
      </c>
    </row>
    <row r="29" spans="1:45" x14ac:dyDescent="0.25">
      <c r="A29" t="s">
        <v>52</v>
      </c>
      <c r="Z29" s="5"/>
    </row>
    <row r="30" spans="1:45" x14ac:dyDescent="0.25">
      <c r="Z30" s="5"/>
    </row>
    <row r="31" spans="1:45" x14ac:dyDescent="0.25">
      <c r="A31" t="s">
        <v>53</v>
      </c>
      <c r="Z31" s="5">
        <f t="shared" ref="Z31:AS31" si="40">+Z14/Z32</f>
        <v>0.23770865445094927</v>
      </c>
      <c r="AA31" s="5">
        <f t="shared" si="40"/>
        <v>1.7841552273034505E-2</v>
      </c>
      <c r="AB31" s="5">
        <f t="shared" si="40"/>
        <v>8.6474136858667935E-2</v>
      </c>
      <c r="AC31" s="5">
        <f t="shared" si="40"/>
        <v>7.977141848082564E-2</v>
      </c>
      <c r="AD31" s="5">
        <f t="shared" si="40"/>
        <v>7.903998282894141E-2</v>
      </c>
      <c r="AE31" s="5">
        <f t="shared" si="40"/>
        <v>7.8236141436440296E-2</v>
      </c>
      <c r="AF31" s="5">
        <f t="shared" si="40"/>
        <v>7.7378104527765487E-2</v>
      </c>
      <c r="AG31" s="5">
        <f t="shared" si="40"/>
        <v>7.6480965152885577E-2</v>
      </c>
      <c r="AH31" s="5">
        <f t="shared" si="40"/>
        <v>7.5557163255669885E-2</v>
      </c>
      <c r="AI31" s="5">
        <f t="shared" si="40"/>
        <v>7.4616895768067557E-2</v>
      </c>
      <c r="AJ31" s="5">
        <f t="shared" si="40"/>
        <v>7.3668473567557083E-2</v>
      </c>
      <c r="AK31" s="5">
        <f t="shared" si="40"/>
        <v>7.2718628661294429E-2</v>
      </c>
      <c r="AL31" s="5">
        <f t="shared" si="40"/>
        <v>7.1772776244461461E-2</v>
      </c>
      <c r="AM31" s="5">
        <f t="shared" si="40"/>
        <v>7.0835236764250423E-2</v>
      </c>
      <c r="AN31" s="5">
        <f t="shared" si="40"/>
        <v>6.9909423113211452E-2</v>
      </c>
      <c r="AO31" s="5">
        <f t="shared" si="40"/>
        <v>6.8997997785393533E-2</v>
      </c>
      <c r="AP31" s="5">
        <f t="shared" si="40"/>
        <v>6.8103004393284761E-2</v>
      </c>
      <c r="AQ31" s="5">
        <f t="shared" si="40"/>
        <v>6.7225977450353108E-2</v>
      </c>
      <c r="AR31" s="5">
        <f t="shared" si="40"/>
        <v>6.636803382618485E-2</v>
      </c>
      <c r="AS31" s="5">
        <f t="shared" si="40"/>
        <v>6.5529948809251948E-2</v>
      </c>
    </row>
    <row r="32" spans="1:45" x14ac:dyDescent="0.25">
      <c r="A32" s="3" t="s">
        <v>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">
        <f>+X37</f>
        <v>855.19399999999996</v>
      </c>
      <c r="Y32" s="8">
        <f>+Y37</f>
        <v>4244.7129999999997</v>
      </c>
      <c r="Z32" s="8">
        <f>+Z37</f>
        <v>5787.08</v>
      </c>
      <c r="AA32" s="8">
        <f>+AA37</f>
        <v>5811.6580000000004</v>
      </c>
      <c r="AB32" s="8">
        <f>+AB37</f>
        <v>7371.7070000000003</v>
      </c>
      <c r="AC32" s="8">
        <f>+AB32+AC14</f>
        <v>8010.7346675000008</v>
      </c>
      <c r="AD32" s="8">
        <f t="shared" ref="AD32:AS32" si="41">+AC32+AD14</f>
        <v>8698.2437002062507</v>
      </c>
      <c r="AE32" s="8">
        <f t="shared" si="41"/>
        <v>9436.5206656737973</v>
      </c>
      <c r="AF32" s="8">
        <f t="shared" si="41"/>
        <v>10227.93921538553</v>
      </c>
      <c r="AG32" s="8">
        <f t="shared" si="41"/>
        <v>11074.963080840811</v>
      </c>
      <c r="AH32" s="8">
        <f t="shared" si="41"/>
        <v>11980.149167301919</v>
      </c>
      <c r="AI32" s="8">
        <f t="shared" si="41"/>
        <v>12946.150748284341</v>
      </c>
      <c r="AJ32" s="8">
        <f t="shared" si="41"/>
        <v>13975.720763972617</v>
      </c>
      <c r="AK32" s="8">
        <f t="shared" si="41"/>
        <v>15071.715226842127</v>
      </c>
      <c r="AL32" s="8">
        <f t="shared" si="41"/>
        <v>16237.096737868864</v>
      </c>
      <c r="AM32" s="8">
        <f t="shared" si="41"/>
        <v>17474.93811681401</v>
      </c>
      <c r="AN32" s="8">
        <f t="shared" si="41"/>
        <v>18788.42615017814</v>
      </c>
      <c r="AO32" s="8">
        <f t="shared" si="41"/>
        <v>20180.865460531197</v>
      </c>
      <c r="AP32" s="8">
        <f t="shared" si="41"/>
        <v>21655.682501039038</v>
      </c>
      <c r="AQ32" s="8">
        <f t="shared" si="41"/>
        <v>23216.429679125649</v>
      </c>
      <c r="AR32" s="8">
        <f t="shared" si="41"/>
        <v>24866.789613331883</v>
      </c>
      <c r="AS32" s="8">
        <f t="shared" si="41"/>
        <v>26610.579527557238</v>
      </c>
    </row>
    <row r="33" spans="1:45" x14ac:dyDescent="0.25">
      <c r="Y33" s="5">
        <f t="shared" ref="Y33:AS33" si="42">+Y32/X32-1</f>
        <v>3.9634503983891376</v>
      </c>
      <c r="Z33" s="5">
        <f t="shared" si="42"/>
        <v>0.36336190456221673</v>
      </c>
      <c r="AA33" s="5">
        <f t="shared" si="42"/>
        <v>4.2470468699240538E-3</v>
      </c>
      <c r="AB33" s="5">
        <f t="shared" si="42"/>
        <v>0.26843441234842103</v>
      </c>
      <c r="AC33" s="5">
        <f t="shared" si="42"/>
        <v>8.6686525590341512E-2</v>
      </c>
      <c r="AD33" s="5">
        <f t="shared" si="42"/>
        <v>8.5823468288809046E-2</v>
      </c>
      <c r="AE33" s="5">
        <f t="shared" si="42"/>
        <v>8.487655564881913E-2</v>
      </c>
      <c r="AF33" s="5">
        <f t="shared" si="42"/>
        <v>8.3867622161904354E-2</v>
      </c>
      <c r="AG33" s="5">
        <f t="shared" si="42"/>
        <v>8.2814714442292825E-2</v>
      </c>
      <c r="AH33" s="5">
        <f t="shared" si="42"/>
        <v>8.1732650470595081E-2</v>
      </c>
      <c r="AI33" s="5">
        <f t="shared" si="42"/>
        <v>8.0633518622537981E-2</v>
      </c>
      <c r="AJ33" s="5">
        <f t="shared" si="42"/>
        <v>7.952711471591023E-2</v>
      </c>
      <c r="AK33" s="5">
        <f t="shared" si="42"/>
        <v>7.8421319471037698E-2</v>
      </c>
      <c r="AL33" s="5">
        <f t="shared" si="42"/>
        <v>7.7322421070644909E-2</v>
      </c>
      <c r="AM33" s="5">
        <f t="shared" si="42"/>
        <v>7.6235388562919448E-2</v>
      </c>
      <c r="AN33" s="5">
        <f t="shared" si="42"/>
        <v>7.5164102132088351E-2</v>
      </c>
      <c r="AO33" s="5">
        <f t="shared" si="42"/>
        <v>7.4111546077522572E-2</v>
      </c>
      <c r="AP33" s="5">
        <f t="shared" si="42"/>
        <v>7.3079969904770392E-2</v>
      </c>
      <c r="AQ33" s="5">
        <f t="shared" si="42"/>
        <v>7.2071022375384652E-2</v>
      </c>
      <c r="AR33" s="5">
        <f t="shared" si="42"/>
        <v>7.1085862771143704E-2</v>
      </c>
      <c r="AS33" s="5">
        <f t="shared" si="42"/>
        <v>7.0125253051984471E-2</v>
      </c>
    </row>
    <row r="34" spans="1:45" x14ac:dyDescent="0.25">
      <c r="A34" t="s">
        <v>55</v>
      </c>
      <c r="Y34" s="5"/>
      <c r="Z34">
        <v>367.81400000000002</v>
      </c>
      <c r="AA34">
        <v>398.99200000000002</v>
      </c>
      <c r="AB34">
        <v>409.22199999999998</v>
      </c>
      <c r="AC34">
        <v>439.459</v>
      </c>
    </row>
    <row r="35" spans="1:45" x14ac:dyDescent="0.25">
      <c r="A35" t="s">
        <v>56</v>
      </c>
      <c r="AA35" s="5">
        <f>+AA34/Z34-1</f>
        <v>8.4765669604745852E-2</v>
      </c>
      <c r="AB35" s="5">
        <f>+AB34/AA34-1</f>
        <v>2.5639611821790753E-2</v>
      </c>
      <c r="AC35" s="5">
        <f>+AC34/AB34-1</f>
        <v>7.3888989350523682E-2</v>
      </c>
      <c r="AI35" t="s">
        <v>14</v>
      </c>
      <c r="AJ35" s="5" t="s">
        <v>14</v>
      </c>
    </row>
    <row r="36" spans="1:45" x14ac:dyDescent="0.25">
      <c r="AI36" t="s">
        <v>14</v>
      </c>
    </row>
    <row r="37" spans="1:45" x14ac:dyDescent="0.25">
      <c r="A37" t="s">
        <v>9</v>
      </c>
      <c r="M37">
        <f>1558.252+5404.233+409.222</f>
        <v>7371.7070000000003</v>
      </c>
      <c r="N37">
        <f>1885.603+5488.737+424.923</f>
        <v>7799.2629999999999</v>
      </c>
      <c r="O37">
        <f>1539.457+5980.575+438.529</f>
        <v>7958.5609999999997</v>
      </c>
      <c r="X37">
        <f>283.134+572.06</f>
        <v>855.19399999999996</v>
      </c>
      <c r="Y37">
        <f>2240.303+2004.41</f>
        <v>4244.7129999999997</v>
      </c>
      <c r="Z37">
        <f>1062.82+4356.446+367.814</f>
        <v>5787.08</v>
      </c>
      <c r="AA37">
        <f>1086.83+4325.836+398.992</f>
        <v>5811.6580000000004</v>
      </c>
      <c r="AB37">
        <f>1558.252+5404.233+409.222</f>
        <v>7371.7070000000003</v>
      </c>
    </row>
    <row r="38" spans="1:45" x14ac:dyDescent="0.25">
      <c r="A38" t="s">
        <v>60</v>
      </c>
      <c r="M38">
        <v>536.07799999999997</v>
      </c>
      <c r="N38">
        <v>527.51499999999999</v>
      </c>
      <c r="X38">
        <v>120.435</v>
      </c>
      <c r="Y38">
        <v>294.70299999999997</v>
      </c>
      <c r="Z38">
        <v>419.673</v>
      </c>
      <c r="AA38">
        <v>557.404</v>
      </c>
      <c r="AB38">
        <v>536.07799999999997</v>
      </c>
    </row>
    <row r="39" spans="1:45" x14ac:dyDescent="0.25">
      <c r="A39" t="s">
        <v>62</v>
      </c>
      <c r="M39">
        <f>208.474+138.724</f>
        <v>347.19799999999998</v>
      </c>
      <c r="N39">
        <f>198.113+121.087</f>
        <v>319.2</v>
      </c>
      <c r="X39">
        <f>44.885+46.245</f>
        <v>91.13</v>
      </c>
      <c r="Y39">
        <f>136.63+157.262</f>
        <v>293.892</v>
      </c>
      <c r="Z39">
        <f>199.266+164.714</f>
        <v>363.98</v>
      </c>
      <c r="AA39">
        <f>223.25+179.991</f>
        <v>403.24099999999999</v>
      </c>
      <c r="AB39">
        <f>208.474+138.724</f>
        <v>347.19799999999998</v>
      </c>
    </row>
    <row r="40" spans="1:45" x14ac:dyDescent="0.25">
      <c r="A40" t="s">
        <v>64</v>
      </c>
      <c r="M40">
        <v>219.18199999999999</v>
      </c>
      <c r="N40">
        <v>182.077</v>
      </c>
      <c r="X40">
        <v>75.007999999999996</v>
      </c>
      <c r="Y40">
        <v>116.819</v>
      </c>
      <c r="Z40">
        <v>145.602</v>
      </c>
      <c r="AA40">
        <v>163.09200000000001</v>
      </c>
      <c r="AB40">
        <v>219.18199999999999</v>
      </c>
    </row>
    <row r="41" spans="1:45" x14ac:dyDescent="0.25">
      <c r="A41" t="s">
        <v>66</v>
      </c>
      <c r="M41">
        <v>293.70400000000001</v>
      </c>
      <c r="N41">
        <v>304.71199999999999</v>
      </c>
      <c r="X41">
        <v>57.137999999999998</v>
      </c>
      <c r="Y41">
        <v>149.92400000000001</v>
      </c>
      <c r="Z41">
        <v>22.353999999999999</v>
      </c>
      <c r="AA41">
        <v>252.821</v>
      </c>
      <c r="AB41">
        <v>293.70400000000001</v>
      </c>
    </row>
    <row r="42" spans="1:45" x14ac:dyDescent="0.25">
      <c r="A42" t="s">
        <v>68</v>
      </c>
      <c r="M42">
        <v>58.975000000000001</v>
      </c>
      <c r="N42">
        <v>55.75</v>
      </c>
      <c r="X42">
        <v>68.608000000000004</v>
      </c>
      <c r="Y42">
        <v>97.649000000000001</v>
      </c>
      <c r="Z42">
        <v>95.965000000000003</v>
      </c>
      <c r="AA42">
        <v>80.906000000000006</v>
      </c>
      <c r="AB42">
        <v>58.975000000000001</v>
      </c>
    </row>
    <row r="43" spans="1:45" x14ac:dyDescent="0.25">
      <c r="A43" t="s">
        <v>70</v>
      </c>
      <c r="M43">
        <v>307.29500000000002</v>
      </c>
      <c r="N43">
        <v>307.29500000000002</v>
      </c>
      <c r="X43">
        <v>0</v>
      </c>
      <c r="Y43">
        <v>24.34</v>
      </c>
      <c r="Z43">
        <v>27.606999999999999</v>
      </c>
      <c r="AA43">
        <v>122.64100000000001</v>
      </c>
      <c r="AB43">
        <v>307.29500000000002</v>
      </c>
      <c r="AC43" t="s">
        <v>14</v>
      </c>
    </row>
    <row r="44" spans="1:45" x14ac:dyDescent="0.25">
      <c r="A44" t="s">
        <v>72</v>
      </c>
      <c r="M44">
        <v>662.17700000000002</v>
      </c>
      <c r="N44">
        <v>673.80799999999999</v>
      </c>
      <c r="X44">
        <v>0</v>
      </c>
      <c r="Y44">
        <v>0</v>
      </c>
      <c r="Z44">
        <v>382.29599999999999</v>
      </c>
      <c r="AA44">
        <v>558.428</v>
      </c>
      <c r="AB44">
        <v>662.17700000000002</v>
      </c>
      <c r="AC44" t="s">
        <v>14</v>
      </c>
    </row>
    <row r="45" spans="1:45" x14ac:dyDescent="0.25">
      <c r="A45" t="s">
        <v>73</v>
      </c>
      <c r="M45">
        <v>133.477</v>
      </c>
      <c r="N45">
        <v>127.01</v>
      </c>
      <c r="X45">
        <v>22.332000000000001</v>
      </c>
      <c r="Y45">
        <v>75.953000000000003</v>
      </c>
      <c r="Z45">
        <v>106.761</v>
      </c>
      <c r="AA45">
        <v>177.874</v>
      </c>
      <c r="AB45">
        <v>133.477</v>
      </c>
      <c r="AC45" s="5" t="s">
        <v>14</v>
      </c>
    </row>
    <row r="46" spans="1:45" s="3" customFormat="1" x14ac:dyDescent="0.25">
      <c r="A46" s="3" t="s">
        <v>74</v>
      </c>
      <c r="M46" s="3">
        <f>SUM(M37:M45)</f>
        <v>9929.7930000000015</v>
      </c>
      <c r="N46" s="3">
        <f>SUM(N37:N45)</f>
        <v>10296.629999999999</v>
      </c>
      <c r="V46"/>
      <c r="W46" t="s">
        <v>14</v>
      </c>
      <c r="X46" s="3">
        <f>SUM(X37:X45)</f>
        <v>1289.845</v>
      </c>
      <c r="Y46" s="3">
        <f>SUM(Y37:Y45)</f>
        <v>5297.9930000000004</v>
      </c>
      <c r="Z46" s="3">
        <f>SUM(Z37:Z45)</f>
        <v>7351.3180000000011</v>
      </c>
      <c r="AA46" s="3">
        <f>SUM(AA37:AA45)</f>
        <v>8128.0649999999987</v>
      </c>
      <c r="AB46" s="3">
        <f>SUM(AB37:AB45)</f>
        <v>9929.7930000000015</v>
      </c>
    </row>
    <row r="48" spans="1:45" x14ac:dyDescent="0.25">
      <c r="A48" t="s">
        <v>12</v>
      </c>
      <c r="M48">
        <v>0</v>
      </c>
      <c r="N48">
        <v>0</v>
      </c>
      <c r="X48">
        <v>0</v>
      </c>
      <c r="Y48">
        <v>0</v>
      </c>
      <c r="Z48">
        <v>0</v>
      </c>
      <c r="AA48">
        <v>0</v>
      </c>
      <c r="AB48">
        <v>0</v>
      </c>
      <c r="AF48" s="2"/>
    </row>
    <row r="49" spans="1:32" x14ac:dyDescent="0.25">
      <c r="A49" t="s">
        <v>75</v>
      </c>
      <c r="M49">
        <v>10.175000000000001</v>
      </c>
      <c r="N49">
        <v>18.315000000000001</v>
      </c>
      <c r="X49">
        <v>1.5960000000000001</v>
      </c>
      <c r="Y49">
        <v>8.6639999999999997</v>
      </c>
      <c r="Z49">
        <v>7.8410000000000002</v>
      </c>
      <c r="AA49">
        <v>14.414</v>
      </c>
      <c r="AB49">
        <v>10.175000000000001</v>
      </c>
      <c r="AF49" s="2"/>
    </row>
    <row r="50" spans="1:32" x14ac:dyDescent="0.25">
      <c r="A50" t="s">
        <v>76</v>
      </c>
      <c r="M50">
        <v>500.16399999999999</v>
      </c>
      <c r="N50">
        <v>501.79899999999998</v>
      </c>
      <c r="X50">
        <v>122.69199999999999</v>
      </c>
      <c r="Y50">
        <v>393.01799999999997</v>
      </c>
      <c r="Z50">
        <v>430.41500000000002</v>
      </c>
      <c r="AA50">
        <v>457.71600000000001</v>
      </c>
      <c r="AB50">
        <v>500.16399999999999</v>
      </c>
      <c r="AF50" s="2"/>
    </row>
    <row r="51" spans="1:32" x14ac:dyDescent="0.25">
      <c r="A51" t="s">
        <v>77</v>
      </c>
      <c r="M51">
        <f>1251.848+18.514</f>
        <v>1270.3619999999999</v>
      </c>
      <c r="N51">
        <f>1335.787+16.405</f>
        <v>1352.192</v>
      </c>
      <c r="X51">
        <f>209.542+20.994</f>
        <v>230.536</v>
      </c>
      <c r="Y51">
        <f>858.284+25.211</f>
        <v>883.495</v>
      </c>
      <c r="Z51">
        <f>1141.435+38.481</f>
        <v>1179.9159999999999</v>
      </c>
      <c r="AA51">
        <f>1266.514+41.932</f>
        <v>1308.4459999999999</v>
      </c>
      <c r="AB51">
        <f>1251.848+18.514</f>
        <v>1270.3619999999999</v>
      </c>
      <c r="AF51" s="2"/>
    </row>
    <row r="52" spans="1:32" x14ac:dyDescent="0.25">
      <c r="A52" t="s">
        <v>78</v>
      </c>
      <c r="M52">
        <v>48.308</v>
      </c>
      <c r="N52">
        <v>40.281999999999996</v>
      </c>
      <c r="X52">
        <v>64.792000000000002</v>
      </c>
      <c r="Y52">
        <v>90.415000000000006</v>
      </c>
      <c r="Z52">
        <v>85.018000000000001</v>
      </c>
      <c r="AA52">
        <v>73.686999999999998</v>
      </c>
      <c r="AB52">
        <v>43.308</v>
      </c>
      <c r="AF52" s="2"/>
    </row>
    <row r="53" spans="1:32" x14ac:dyDescent="0.25">
      <c r="A53" t="s">
        <v>79</v>
      </c>
      <c r="M53">
        <v>81.378</v>
      </c>
      <c r="N53">
        <v>85.215999999999994</v>
      </c>
      <c r="X53">
        <v>36.286000000000001</v>
      </c>
      <c r="Y53">
        <v>61.634</v>
      </c>
      <c r="Z53">
        <v>68.11</v>
      </c>
      <c r="AA53">
        <v>67.194999999999993</v>
      </c>
      <c r="AB53">
        <v>81.378</v>
      </c>
      <c r="AF53" s="2"/>
    </row>
    <row r="54" spans="1:32" s="3" customFormat="1" x14ac:dyDescent="0.25">
      <c r="A54" s="3" t="s">
        <v>80</v>
      </c>
      <c r="M54" s="3">
        <f>SUM(M49:M53)</f>
        <v>1910.3869999999997</v>
      </c>
      <c r="N54" s="3">
        <f>SUM(N49:N53)</f>
        <v>1997.8039999999999</v>
      </c>
      <c r="X54" s="3">
        <f>SUM(X49:X53)</f>
        <v>455.90199999999999</v>
      </c>
      <c r="Y54" s="3">
        <f>SUM(Y49:Y53)</f>
        <v>1437.2259999999999</v>
      </c>
      <c r="Z54" s="3">
        <f>SUM(Z49:Z53)</f>
        <v>1771.3</v>
      </c>
      <c r="AA54" s="3">
        <f>SUM(AA49:AA53)</f>
        <v>1921.4579999999999</v>
      </c>
      <c r="AB54" s="3">
        <f>SUM(AB49:AB53)</f>
        <v>1905.3869999999997</v>
      </c>
      <c r="AF54" s="8"/>
    </row>
    <row r="55" spans="1:32" x14ac:dyDescent="0.25">
      <c r="Z55" t="s">
        <v>14</v>
      </c>
    </row>
    <row r="56" spans="1:32" x14ac:dyDescent="0.25">
      <c r="A56" s="3" t="s">
        <v>81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f>+M46-M54</f>
        <v>8019.4060000000018</v>
      </c>
      <c r="N56" s="3">
        <f>+N46-N54</f>
        <v>8298.8259999999991</v>
      </c>
      <c r="O56" s="3"/>
      <c r="P56" s="3"/>
      <c r="Q56" s="3"/>
      <c r="R56" s="3"/>
      <c r="S56" s="3"/>
      <c r="T56" s="3"/>
      <c r="U56" s="3"/>
      <c r="V56" s="3"/>
      <c r="W56" s="3"/>
      <c r="X56" s="3">
        <f>+X46-X54</f>
        <v>833.94299999999998</v>
      </c>
      <c r="Y56" s="3">
        <f>+Y46-Y54</f>
        <v>3860.7670000000007</v>
      </c>
      <c r="Z56" s="3">
        <f>+Z46-Z54</f>
        <v>5580.0180000000009</v>
      </c>
      <c r="AA56" s="3">
        <f>+AA46-AA54</f>
        <v>6206.6069999999991</v>
      </c>
      <c r="AB56" s="3">
        <f>+AB46-AB54</f>
        <v>8024.4060000000018</v>
      </c>
      <c r="AC56" s="3" t="s">
        <v>30</v>
      </c>
    </row>
    <row r="57" spans="1:32" x14ac:dyDescent="0.25">
      <c r="A57" s="3" t="s">
        <v>82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f>+M54+M56</f>
        <v>9929.7930000000015</v>
      </c>
      <c r="N57" s="3">
        <f>+N54+N56</f>
        <v>10296.629999999999</v>
      </c>
      <c r="O57" s="3"/>
      <c r="P57" s="3"/>
      <c r="Q57" s="3"/>
      <c r="R57" s="3"/>
      <c r="S57" s="3"/>
      <c r="T57" s="3"/>
      <c r="U57" s="3"/>
      <c r="V57" s="3"/>
      <c r="W57" s="3"/>
      <c r="X57" s="3">
        <f>+X54+X56</f>
        <v>1289.845</v>
      </c>
      <c r="Y57" s="3">
        <f>+Y54+Y56</f>
        <v>5297.9930000000004</v>
      </c>
      <c r="Z57" s="3">
        <f>+Z54+Z56</f>
        <v>7351.3180000000011</v>
      </c>
      <c r="AA57" s="3">
        <f>+AA54+AA56</f>
        <v>8128.0649999999987</v>
      </c>
      <c r="AB57" s="3">
        <f>+AB54+AB56</f>
        <v>9929.7930000000015</v>
      </c>
      <c r="AC57" s="3" t="s">
        <v>14</v>
      </c>
      <c r="AE57" s="9"/>
    </row>
    <row r="59" spans="1:32" x14ac:dyDescent="0.25">
      <c r="A59" s="3" t="s">
        <v>83</v>
      </c>
      <c r="N59" s="5">
        <f>+N14/N46</f>
        <v>1.4055084042060345E-2</v>
      </c>
      <c r="O59" s="5"/>
      <c r="Z59" s="5">
        <f t="shared" ref="Z59:AA59" si="43">+Z14/Z46</f>
        <v>0.18712821292726001</v>
      </c>
      <c r="AA59" s="5">
        <f t="shared" si="43"/>
        <v>1.2756910777657313E-2</v>
      </c>
      <c r="AB59" s="5">
        <f>+AB14/AB46</f>
        <v>6.4196907226565583E-2</v>
      </c>
      <c r="AC59" t="s">
        <v>14</v>
      </c>
    </row>
    <row r="60" spans="1:32" x14ac:dyDescent="0.25">
      <c r="A60" s="3" t="s">
        <v>84</v>
      </c>
      <c r="N60" s="5">
        <f>+N14/(N46-N54)</f>
        <v>1.7438611196330639E-2</v>
      </c>
      <c r="O60" s="5"/>
      <c r="Y60" t="s">
        <v>14</v>
      </c>
      <c r="Z60" s="5">
        <f t="shared" ref="Z60:AA60" si="44">+Z14/Z56</f>
        <v>0.24652949148192699</v>
      </c>
      <c r="AA60" s="5">
        <f t="shared" si="44"/>
        <v>1.6706229345598841E-2</v>
      </c>
      <c r="AB60" s="5">
        <f>+AB14/AB56</f>
        <v>7.9440397208217065E-2</v>
      </c>
    </row>
    <row r="61" spans="1:32" x14ac:dyDescent="0.25">
      <c r="A61" s="3"/>
      <c r="J61" t="s">
        <v>14</v>
      </c>
      <c r="K61" t="s">
        <v>14</v>
      </c>
    </row>
    <row r="62" spans="1:32" x14ac:dyDescent="0.25">
      <c r="J62" s="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2024-08-17T13:38:42Z</dcterms:created>
  <dcterms:modified xsi:type="dcterms:W3CDTF">2024-09-24T11:10:16Z</dcterms:modified>
  <cp:category/>
  <cp:contentStatus/>
</cp:coreProperties>
</file>