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96" documentId="8_{91A85DBD-37F5-495F-9D0D-AFC39F49FA9F}" xr6:coauthVersionLast="47" xr6:coauthVersionMax="47" xr10:uidLastSave="{BB563C9F-E80C-4640-AE0E-C1D41EC2ADCD}"/>
  <bookViews>
    <workbookView xWindow="-105" yWindow="0" windowWidth="14610" windowHeight="15585" activeTab="1" xr2:uid="{A4478C07-9115-4914-9DE9-A3B7CC45EB2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7" i="2" l="1"/>
  <c r="AG26" i="2"/>
  <c r="AG25" i="2"/>
  <c r="AG24" i="2"/>
  <c r="AG23" i="2"/>
  <c r="AG22" i="2"/>
  <c r="AG21" i="2"/>
  <c r="AG19" i="2"/>
  <c r="AG18" i="2"/>
  <c r="AE3" i="2"/>
  <c r="AF3" i="2"/>
  <c r="AG3" i="2" s="1"/>
  <c r="AG5" i="2" s="1"/>
  <c r="AD3" i="2"/>
  <c r="AG2" i="2"/>
  <c r="AD5" i="2"/>
  <c r="AC5" i="2"/>
  <c r="AB5" i="2"/>
  <c r="AC4" i="2"/>
  <c r="AD4" i="2" s="1"/>
  <c r="AE4" i="2" s="1"/>
  <c r="AF4" i="2" s="1"/>
  <c r="AG4" i="2" s="1"/>
  <c r="AB4" i="2"/>
  <c r="AC3" i="2"/>
  <c r="AB11" i="2"/>
  <c r="L5" i="1"/>
  <c r="AA16" i="2"/>
  <c r="AA13" i="2"/>
  <c r="AA11" i="2"/>
  <c r="AA9" i="2"/>
  <c r="AA10" i="2" s="1"/>
  <c r="AA12" i="2" s="1"/>
  <c r="AA14" i="2" s="1"/>
  <c r="K10" i="1" s="1"/>
  <c r="AA8" i="2"/>
  <c r="AA7" i="2"/>
  <c r="AA6" i="2"/>
  <c r="AA5" i="2"/>
  <c r="AA4" i="2"/>
  <c r="AA3" i="2"/>
  <c r="L93" i="2"/>
  <c r="L53" i="2"/>
  <c r="L44" i="2"/>
  <c r="L59" i="2" s="1"/>
  <c r="L36" i="2"/>
  <c r="K33" i="2"/>
  <c r="J33" i="2"/>
  <c r="I33" i="2"/>
  <c r="H33" i="2"/>
  <c r="G33" i="2"/>
  <c r="F33" i="2"/>
  <c r="E33" i="2"/>
  <c r="D33" i="2"/>
  <c r="C33" i="2"/>
  <c r="B33" i="2"/>
  <c r="L24" i="2"/>
  <c r="L23" i="2"/>
  <c r="L22" i="2"/>
  <c r="L9" i="2"/>
  <c r="L5" i="2"/>
  <c r="L21" i="2" s="1"/>
  <c r="N33" i="2"/>
  <c r="M33" i="2"/>
  <c r="O33" i="2"/>
  <c r="M93" i="2"/>
  <c r="M59" i="2"/>
  <c r="M55" i="2"/>
  <c r="M56" i="2" s="1"/>
  <c r="M53" i="2"/>
  <c r="M44" i="2"/>
  <c r="M36" i="2"/>
  <c r="M24" i="2"/>
  <c r="M23" i="2"/>
  <c r="M22" i="2"/>
  <c r="M9" i="2"/>
  <c r="M5" i="2"/>
  <c r="M10" i="2" s="1"/>
  <c r="N93" i="2"/>
  <c r="N91" i="2"/>
  <c r="N84" i="2"/>
  <c r="N75" i="2"/>
  <c r="N59" i="2"/>
  <c r="N55" i="2"/>
  <c r="N60" i="2" s="1"/>
  <c r="N53" i="2"/>
  <c r="N44" i="2"/>
  <c r="N36" i="2"/>
  <c r="N27" i="2"/>
  <c r="N26" i="2"/>
  <c r="N25" i="2"/>
  <c r="N24" i="2"/>
  <c r="N23" i="2"/>
  <c r="N22" i="2"/>
  <c r="N21" i="2"/>
  <c r="N19" i="2"/>
  <c r="N18" i="2"/>
  <c r="N5" i="2"/>
  <c r="N9" i="2"/>
  <c r="N10" i="2" s="1"/>
  <c r="N12" i="2" s="1"/>
  <c r="N14" i="2" s="1"/>
  <c r="N15" i="2" s="1"/>
  <c r="O93" i="2"/>
  <c r="O91" i="2"/>
  <c r="O84" i="2"/>
  <c r="O75" i="2"/>
  <c r="K62" i="2"/>
  <c r="J62" i="2"/>
  <c r="I62" i="2"/>
  <c r="H62" i="2"/>
  <c r="G62" i="2"/>
  <c r="F62" i="2"/>
  <c r="E62" i="2"/>
  <c r="D62" i="2"/>
  <c r="C62" i="2"/>
  <c r="B62" i="2"/>
  <c r="O62" i="2"/>
  <c r="O60" i="2"/>
  <c r="O59" i="2"/>
  <c r="O56" i="2"/>
  <c r="O55" i="2"/>
  <c r="O53" i="2"/>
  <c r="O36" i="2"/>
  <c r="O44" i="2" s="1"/>
  <c r="O24" i="2"/>
  <c r="O23" i="2"/>
  <c r="O22" i="2"/>
  <c r="O9" i="2"/>
  <c r="O10" i="2" s="1"/>
  <c r="O12" i="2" s="1"/>
  <c r="O14" i="2" s="1"/>
  <c r="O15" i="2" s="1"/>
  <c r="O5" i="2"/>
  <c r="O21" i="2" s="1"/>
  <c r="AE5" i="2" l="1"/>
  <c r="AF5" i="2"/>
  <c r="L55" i="2"/>
  <c r="L60" i="2" s="1"/>
  <c r="L10" i="2"/>
  <c r="L18" i="2"/>
  <c r="M60" i="2"/>
  <c r="M12" i="2"/>
  <c r="M25" i="2"/>
  <c r="M18" i="2"/>
  <c r="M21" i="2"/>
  <c r="N56" i="2"/>
  <c r="N62" i="2"/>
  <c r="O25" i="2"/>
  <c r="O26" i="2"/>
  <c r="O27" i="2"/>
  <c r="Z46" i="2"/>
  <c r="Z53" i="2" s="1"/>
  <c r="Z42" i="2"/>
  <c r="Z44" i="2" s="1"/>
  <c r="V22" i="2"/>
  <c r="V19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K24" i="2"/>
  <c r="K23" i="2"/>
  <c r="K22" i="2"/>
  <c r="L56" i="2" l="1"/>
  <c r="L25" i="2"/>
  <c r="L12" i="2"/>
  <c r="M26" i="2"/>
  <c r="M14" i="2"/>
  <c r="Z55" i="2"/>
  <c r="Z56" i="2" s="1"/>
  <c r="Z33" i="2"/>
  <c r="L14" i="2" l="1"/>
  <c r="L26" i="2"/>
  <c r="M27" i="2"/>
  <c r="M19" i="2"/>
  <c r="M62" i="2"/>
  <c r="M15" i="2"/>
  <c r="Z11" i="2"/>
  <c r="Z16" i="2"/>
  <c r="AB16" i="2" s="1"/>
  <c r="AC16" i="2" s="1"/>
  <c r="AD16" i="2" s="1"/>
  <c r="AE16" i="2" s="1"/>
  <c r="AF16" i="2" s="1"/>
  <c r="AG16" i="2" s="1"/>
  <c r="Z13" i="2"/>
  <c r="Z8" i="2"/>
  <c r="AB8" i="2" s="1"/>
  <c r="AC8" i="2" s="1"/>
  <c r="AD8" i="2" s="1"/>
  <c r="AE8" i="2" s="1"/>
  <c r="AF8" i="2" s="1"/>
  <c r="AG8" i="2" s="1"/>
  <c r="Z7" i="2"/>
  <c r="AB7" i="2" s="1"/>
  <c r="AC7" i="2" s="1"/>
  <c r="AD7" i="2" s="1"/>
  <c r="AE7" i="2" s="1"/>
  <c r="AF7" i="2" s="1"/>
  <c r="AG7" i="2" s="1"/>
  <c r="Z6" i="2"/>
  <c r="AB6" i="2" s="1"/>
  <c r="AC6" i="2" s="1"/>
  <c r="AD6" i="2" s="1"/>
  <c r="AE6" i="2" s="1"/>
  <c r="AF6" i="2" s="1"/>
  <c r="AG6" i="2" s="1"/>
  <c r="Z4" i="2"/>
  <c r="Z3" i="2"/>
  <c r="AA1" i="2" s="1"/>
  <c r="Y16" i="2"/>
  <c r="Y13" i="2"/>
  <c r="Y11" i="2"/>
  <c r="Y8" i="2"/>
  <c r="Y7" i="2"/>
  <c r="Y6" i="2"/>
  <c r="Y4" i="2"/>
  <c r="Y3" i="2"/>
  <c r="Z2" i="2"/>
  <c r="AA2" i="2" s="1"/>
  <c r="AB2" i="2" s="1"/>
  <c r="AC2" i="2" s="1"/>
  <c r="AD2" i="2" s="1"/>
  <c r="AE2" i="2" s="1"/>
  <c r="AF2" i="2" s="1"/>
  <c r="B9" i="2"/>
  <c r="B5" i="2"/>
  <c r="B21" i="2" s="1"/>
  <c r="C9" i="2"/>
  <c r="C5" i="2"/>
  <c r="C21" i="2" s="1"/>
  <c r="D9" i="2"/>
  <c r="D5" i="2"/>
  <c r="D21" i="2" s="1"/>
  <c r="H9" i="2"/>
  <c r="H5" i="2"/>
  <c r="E9" i="2"/>
  <c r="E5" i="2"/>
  <c r="I9" i="2"/>
  <c r="I5" i="2"/>
  <c r="I21" i="2" s="1"/>
  <c r="F9" i="2"/>
  <c r="F5" i="2"/>
  <c r="F21" i="2" s="1"/>
  <c r="J5" i="2"/>
  <c r="J21" i="2" s="1"/>
  <c r="J9" i="2"/>
  <c r="G5" i="2"/>
  <c r="G21" i="2" s="1"/>
  <c r="G9" i="2"/>
  <c r="K9" i="2"/>
  <c r="L27" i="2" l="1"/>
  <c r="L62" i="2"/>
  <c r="L15" i="2"/>
  <c r="L19" i="2"/>
  <c r="AG9" i="2"/>
  <c r="AB3" i="2"/>
  <c r="Y5" i="2"/>
  <c r="Y21" i="2" s="1"/>
  <c r="J10" i="2"/>
  <c r="J25" i="2" s="1"/>
  <c r="Z23" i="2"/>
  <c r="Y24" i="2"/>
  <c r="Y22" i="2"/>
  <c r="Z18" i="2"/>
  <c r="Z5" i="2"/>
  <c r="H10" i="2"/>
  <c r="H21" i="2"/>
  <c r="Y9" i="2"/>
  <c r="Z22" i="2"/>
  <c r="I18" i="2"/>
  <c r="J18" i="2"/>
  <c r="E10" i="2"/>
  <c r="E21" i="2"/>
  <c r="Z24" i="2"/>
  <c r="Y23" i="2"/>
  <c r="Z9" i="2"/>
  <c r="F18" i="2"/>
  <c r="G18" i="2"/>
  <c r="H18" i="2"/>
  <c r="B10" i="2"/>
  <c r="C10" i="2"/>
  <c r="D10" i="2"/>
  <c r="I10" i="2"/>
  <c r="F10" i="2"/>
  <c r="G10" i="2"/>
  <c r="J12" i="2" l="1"/>
  <c r="J14" i="2" s="1"/>
  <c r="Y10" i="2"/>
  <c r="Y25" i="2" s="1"/>
  <c r="H12" i="2"/>
  <c r="H25" i="2"/>
  <c r="E12" i="2"/>
  <c r="E25" i="2"/>
  <c r="G12" i="2"/>
  <c r="G25" i="2"/>
  <c r="F12" i="2"/>
  <c r="F25" i="2"/>
  <c r="C12" i="2"/>
  <c r="C25" i="2"/>
  <c r="B12" i="2"/>
  <c r="B25" i="2"/>
  <c r="Z21" i="2"/>
  <c r="Z10" i="2"/>
  <c r="Z12" i="2" s="1"/>
  <c r="I12" i="2"/>
  <c r="I25" i="2"/>
  <c r="D12" i="2"/>
  <c r="D25" i="2"/>
  <c r="AA24" i="2"/>
  <c r="AA18" i="2"/>
  <c r="AA21" i="2"/>
  <c r="AA23" i="2"/>
  <c r="K5" i="2"/>
  <c r="O18" i="2" s="1"/>
  <c r="L4" i="1"/>
  <c r="J26" i="2" l="1"/>
  <c r="Y12" i="2"/>
  <c r="Y26" i="2" s="1"/>
  <c r="K10" i="2"/>
  <c r="K21" i="2"/>
  <c r="K18" i="2"/>
  <c r="G14" i="2"/>
  <c r="G26" i="2"/>
  <c r="C14" i="2"/>
  <c r="C26" i="2"/>
  <c r="AA22" i="2"/>
  <c r="B14" i="2"/>
  <c r="B26" i="2"/>
  <c r="E14" i="2"/>
  <c r="E26" i="2"/>
  <c r="D14" i="2"/>
  <c r="D26" i="2"/>
  <c r="I14" i="2"/>
  <c r="I26" i="2"/>
  <c r="J15" i="2"/>
  <c r="J27" i="2"/>
  <c r="AB24" i="2"/>
  <c r="AB23" i="2"/>
  <c r="AB18" i="2"/>
  <c r="Z25" i="2"/>
  <c r="F14" i="2"/>
  <c r="F26" i="2"/>
  <c r="H14" i="2"/>
  <c r="H26" i="2"/>
  <c r="L7" i="1"/>
  <c r="Y14" i="2" l="1"/>
  <c r="Y27" i="2" s="1"/>
  <c r="F19" i="2"/>
  <c r="G19" i="2"/>
  <c r="H19" i="2"/>
  <c r="I19" i="2"/>
  <c r="J19" i="2"/>
  <c r="D15" i="2"/>
  <c r="D27" i="2"/>
  <c r="G15" i="2"/>
  <c r="G27" i="2"/>
  <c r="H15" i="2"/>
  <c r="H27" i="2"/>
  <c r="AB21" i="2"/>
  <c r="C15" i="2"/>
  <c r="C27" i="2"/>
  <c r="B15" i="2"/>
  <c r="B27" i="2"/>
  <c r="AC18" i="2"/>
  <c r="AC23" i="2"/>
  <c r="AC24" i="2"/>
  <c r="I15" i="2"/>
  <c r="I27" i="2"/>
  <c r="F15" i="2"/>
  <c r="F27" i="2"/>
  <c r="E15" i="2"/>
  <c r="E27" i="2"/>
  <c r="Z14" i="2"/>
  <c r="Z26" i="2"/>
  <c r="AA25" i="2"/>
  <c r="AB22" i="2"/>
  <c r="AB9" i="2"/>
  <c r="AB10" i="2" s="1"/>
  <c r="K12" i="2"/>
  <c r="K25" i="2"/>
  <c r="Y15" i="2" l="1"/>
  <c r="Z19" i="2"/>
  <c r="Z60" i="2"/>
  <c r="Z59" i="2"/>
  <c r="AD24" i="2"/>
  <c r="AD18" i="2"/>
  <c r="AD23" i="2"/>
  <c r="AD21" i="2"/>
  <c r="Z27" i="2"/>
  <c r="Z15" i="2"/>
  <c r="AB25" i="2"/>
  <c r="K14" i="2"/>
  <c r="K26" i="2"/>
  <c r="AC22" i="2"/>
  <c r="AC9" i="2"/>
  <c r="AC10" i="2" s="1"/>
  <c r="AC21" i="2"/>
  <c r="K19" i="2" l="1"/>
  <c r="O19" i="2"/>
  <c r="AG10" i="2"/>
  <c r="AC25" i="2"/>
  <c r="K15" i="2"/>
  <c r="K27" i="2"/>
  <c r="AE21" i="2"/>
  <c r="AE18" i="2"/>
  <c r="AE24" i="2"/>
  <c r="AE23" i="2"/>
  <c r="AD22" i="2"/>
  <c r="AD9" i="2"/>
  <c r="AD10" i="2" s="1"/>
  <c r="AF23" i="2" l="1"/>
  <c r="AF18" i="2"/>
  <c r="AF21" i="2"/>
  <c r="AF24" i="2"/>
  <c r="AD25" i="2"/>
  <c r="AE22" i="2"/>
  <c r="AE9" i="2"/>
  <c r="AE10" i="2" s="1"/>
  <c r="AE25" i="2" l="1"/>
  <c r="AF22" i="2"/>
  <c r="AF9" i="2"/>
  <c r="AF10" i="2" s="1"/>
  <c r="AF25" i="2" l="1"/>
  <c r="AA26" i="2" l="1"/>
  <c r="AA33" i="2" l="1"/>
  <c r="AA27" i="2"/>
  <c r="AA19" i="2"/>
  <c r="AA15" i="2"/>
  <c r="AB12" i="2" l="1"/>
  <c r="AB13" i="2" s="1"/>
  <c r="AC11" i="2"/>
  <c r="AB26" i="2"/>
  <c r="AB14" i="2" l="1"/>
  <c r="AB33" i="2" l="1"/>
  <c r="AD11" i="2" s="1"/>
  <c r="AB15" i="2"/>
  <c r="AB27" i="2"/>
  <c r="AB19" i="2"/>
  <c r="AC12" i="2" l="1"/>
  <c r="AC13" i="2" s="1"/>
  <c r="AC26" i="2" l="1"/>
  <c r="AC14" i="2" l="1"/>
  <c r="AC33" i="2" l="1"/>
  <c r="AE11" i="2" s="1"/>
  <c r="AC19" i="2"/>
  <c r="AC15" i="2"/>
  <c r="AC27" i="2"/>
  <c r="AD12" i="2" l="1"/>
  <c r="AD13" i="2" s="1"/>
  <c r="AD26" i="2" l="1"/>
  <c r="AD14" i="2" l="1"/>
  <c r="AD33" i="2" s="1"/>
  <c r="AF11" i="2" s="1"/>
  <c r="AD27" i="2" l="1"/>
  <c r="AD15" i="2"/>
  <c r="AD19" i="2"/>
  <c r="AE12" i="2"/>
  <c r="AE13" i="2" s="1"/>
  <c r="AE26" i="2" l="1"/>
  <c r="AE14" i="2" l="1"/>
  <c r="AE33" i="2" s="1"/>
  <c r="AG11" i="2" s="1"/>
  <c r="AE15" i="2" l="1"/>
  <c r="AE27" i="2"/>
  <c r="AE19" i="2"/>
  <c r="AF12" i="2" l="1"/>
  <c r="AF13" i="2" s="1"/>
  <c r="AF26" i="2" l="1"/>
  <c r="AF14" i="2" l="1"/>
  <c r="AF33" i="2" l="1"/>
  <c r="AG12" i="2" s="1"/>
  <c r="AG13" i="2" s="1"/>
  <c r="AG14" i="2" s="1"/>
  <c r="AF19" i="2"/>
  <c r="AF15" i="2"/>
  <c r="AF27" i="2"/>
  <c r="AG15" i="2" l="1"/>
  <c r="AH14" i="2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AG33" i="2"/>
  <c r="AH33" i="2" l="1"/>
  <c r="AI33" i="2" l="1"/>
  <c r="AJ33" i="2" l="1"/>
  <c r="AK33" i="2" l="1"/>
  <c r="AL33" i="2" l="1"/>
  <c r="AM33" i="2" l="1"/>
  <c r="AN33" i="2" l="1"/>
  <c r="AO33" i="2" l="1"/>
  <c r="AP33" i="2" l="1"/>
  <c r="AQ33" i="2" l="1"/>
  <c r="AR33" i="2" l="1"/>
  <c r="V18" i="2"/>
  <c r="V20" i="2" s="1"/>
  <c r="V21" i="2" s="1"/>
  <c r="V23" i="2" s="1"/>
</calcChain>
</file>

<file path=xl/sharedStrings.xml><?xml version="1.0" encoding="utf-8"?>
<sst xmlns="http://schemas.openxmlformats.org/spreadsheetml/2006/main" count="131" uniqueCount="100">
  <si>
    <t>META</t>
  </si>
  <si>
    <t>Price</t>
  </si>
  <si>
    <t>Shares</t>
  </si>
  <si>
    <t>MC</t>
  </si>
  <si>
    <t>Cash</t>
  </si>
  <si>
    <t>Debt</t>
  </si>
  <si>
    <t>EV</t>
  </si>
  <si>
    <t>1.35T</t>
  </si>
  <si>
    <t>Revenue</t>
  </si>
  <si>
    <t xml:space="preserve"> 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</si>
  <si>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</si>
  <si>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</si>
  <si>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</si>
  <si>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</si>
  <si>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</si>
  <si>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</si>
  <si>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</si>
  <si>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</si>
  <si>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</si>
  <si>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Cost of revenue</t>
  </si>
  <si>
    <t>Gross Margin</t>
  </si>
  <si>
    <t>RD</t>
  </si>
  <si>
    <t>MS</t>
  </si>
  <si>
    <t>GA</t>
  </si>
  <si>
    <t>Operating Profit</t>
  </si>
  <si>
    <t>Interest income</t>
  </si>
  <si>
    <t>Pretaxe</t>
  </si>
  <si>
    <t>Taxes</t>
  </si>
  <si>
    <t>Net Income</t>
  </si>
  <si>
    <t>EPS</t>
  </si>
  <si>
    <t>OPEX</t>
  </si>
  <si>
    <t>Q122</t>
  </si>
  <si>
    <t>revenue y/y</t>
  </si>
  <si>
    <t>ROIC</t>
  </si>
  <si>
    <t>MR</t>
  </si>
  <si>
    <t>DR</t>
  </si>
  <si>
    <t>NPV</t>
  </si>
  <si>
    <t>True value</t>
  </si>
  <si>
    <t>Per share</t>
  </si>
  <si>
    <t>Current value</t>
  </si>
  <si>
    <t>Ratio</t>
  </si>
  <si>
    <t>Operating Margin</t>
  </si>
  <si>
    <t>RD %</t>
  </si>
  <si>
    <t>MS %</t>
  </si>
  <si>
    <t>GA%</t>
  </si>
  <si>
    <t>Taxe Rate</t>
  </si>
  <si>
    <t>Net Margin</t>
  </si>
  <si>
    <t>NC</t>
  </si>
  <si>
    <t xml:space="preserve">Cash </t>
  </si>
  <si>
    <t>Assets</t>
  </si>
  <si>
    <t>A/R</t>
  </si>
  <si>
    <t>OCA</t>
  </si>
  <si>
    <t>Equity Securities</t>
  </si>
  <si>
    <t>PPE</t>
  </si>
  <si>
    <t>OLA</t>
  </si>
  <si>
    <t>Intangibles</t>
  </si>
  <si>
    <t>Other</t>
  </si>
  <si>
    <t>A/P</t>
  </si>
  <si>
    <t>OLL</t>
  </si>
  <si>
    <t>AE</t>
  </si>
  <si>
    <t>ONCLL</t>
  </si>
  <si>
    <t>Líabilities</t>
  </si>
  <si>
    <t>S/E</t>
  </si>
  <si>
    <t>L+S/E</t>
  </si>
  <si>
    <t>Net Cash</t>
  </si>
  <si>
    <t>ROA</t>
  </si>
  <si>
    <t>ROE</t>
  </si>
  <si>
    <t>EV/E 24</t>
  </si>
  <si>
    <t>Q324</t>
  </si>
  <si>
    <t>Q424</t>
  </si>
  <si>
    <t>Q125</t>
  </si>
  <si>
    <t>Q225</t>
  </si>
  <si>
    <t>OCL</t>
  </si>
  <si>
    <t>Reported NI</t>
  </si>
  <si>
    <t>Model NI</t>
  </si>
  <si>
    <t>DA</t>
  </si>
  <si>
    <t>SBC</t>
  </si>
  <si>
    <t>Defered Taxes</t>
  </si>
  <si>
    <t>Unrealized</t>
  </si>
  <si>
    <t>AR</t>
  </si>
  <si>
    <t>Prepaid Expenses</t>
  </si>
  <si>
    <t>AP</t>
  </si>
  <si>
    <t>CFFO</t>
  </si>
  <si>
    <t>Purchases PPE</t>
  </si>
  <si>
    <t>Purchases MS</t>
  </si>
  <si>
    <t>Sales of Maturities</t>
  </si>
  <si>
    <t>Non Equity</t>
  </si>
  <si>
    <t>Held for Sale</t>
  </si>
  <si>
    <t>Acquisitions of Intangibles</t>
  </si>
  <si>
    <t>CFFI</t>
  </si>
  <si>
    <t>Repurchases</t>
  </si>
  <si>
    <t>Dividends</t>
  </si>
  <si>
    <t>Finance  Leases</t>
  </si>
  <si>
    <t>CFFF</t>
  </si>
  <si>
    <t xml:space="preserve">CFC </t>
  </si>
  <si>
    <t xml:space="preserve">  </t>
  </si>
  <si>
    <t>CEO</t>
  </si>
  <si>
    <t>Employees</t>
  </si>
  <si>
    <t>up 7% y/y</t>
  </si>
  <si>
    <t>NI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</si>
</sst>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3" fontId="0" fillId="0" borderId="0" xfId="0" applyNumberFormat="1" applyFont="1"/>
    <xf numFmtId="9" fontId="1" fillId="0" borderId="0" xfId="1" applyFont="1"/>
    <xf numFmtId="9" fontId="0" fillId="0" borderId="0" xfId="1" applyFont="1"/>
    <xf numFmtId="4" fontId="1" fillId="0" borderId="0" xfId="1" applyNumberFormat="1" applyFont="1"/>
    <xf numFmtId="4" fontId="0" fillId="0" borderId="0" xfId="1" applyNumberFormat="1" applyFont="1"/>
    <xf numFmtId="9" fontId="0" fillId="0" borderId="0" xfId="1" applyNumberFormat="1" applyFont="1"/>
    <xf numFmtId="3" fontId="0" fillId="2" borderId="0" xfId="0" applyNumberFormat="1" applyFont="1" applyFill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</xdr:colOff>
      <xdr:row>0</xdr:row>
      <xdr:rowOff>114300</xdr:rowOff>
    </xdr:from>
    <xdr:to>
      <xdr:col>13</xdr:col>
      <xdr:colOff>17145</xdr:colOff>
      <xdr:row>32</xdr:row>
      <xdr:rowOff>167640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5BA44343-9DBC-E0B6-7DFD-0271366DA2B9}"/>
            </a:ext>
          </a:extLst>
        </xdr:cNvPr>
        <xdr:cNvCxnSpPr/>
      </xdr:nvCxnSpPr>
      <xdr:spPr>
        <a:xfrm>
          <a:off x="9818370" y="114300"/>
          <a:ext cx="0" cy="59207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</xdr:colOff>
      <xdr:row>0</xdr:row>
      <xdr:rowOff>156210</xdr:rowOff>
    </xdr:from>
    <xdr:to>
      <xdr:col>27</xdr:col>
      <xdr:colOff>28575</xdr:colOff>
      <xdr:row>33</xdr:row>
      <xdr:rowOff>19050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EB626176-F129-4BA2-B233-260AEF30A47E}"/>
            </a:ext>
          </a:extLst>
        </xdr:cNvPr>
        <xdr:cNvCxnSpPr/>
      </xdr:nvCxnSpPr>
      <xdr:spPr>
        <a:xfrm>
          <a:off x="21821775" y="156210"/>
          <a:ext cx="0" cy="59207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E39A-A4CD-4185-A30A-7652841AFB33}">
  <dimension ref="B2:M10"/>
  <sheetViews>
    <sheetView topLeftCell="I1" workbookViewId="0">
      <selection activeCell="K9" sqref="K9:K10"/>
    </sheetView>
  </sheetViews>
  <sheetFormatPr defaultRowHeight="14.25" x14ac:dyDescent="0.2"/>
  <cols>
    <col min="13" max="13" width="9.5" bestFit="1" customWidth="1"/>
  </cols>
  <sheetData>
    <row r="2" spans="2:13" ht="15" x14ac:dyDescent="0.25">
      <c r="B2" s="1" t="s">
        <v>0</v>
      </c>
      <c r="K2" t="s">
        <v>1</v>
      </c>
      <c r="L2" s="2">
        <v>777</v>
      </c>
    </row>
    <row r="3" spans="2:13" x14ac:dyDescent="0.2">
      <c r="K3" t="s">
        <v>2</v>
      </c>
      <c r="L3" s="2">
        <v>2518</v>
      </c>
      <c r="M3" t="s">
        <v>71</v>
      </c>
    </row>
    <row r="4" spans="2:13" x14ac:dyDescent="0.2">
      <c r="K4" t="s">
        <v>3</v>
      </c>
      <c r="L4" s="2">
        <f>+L2*L3</f>
        <v>1956486</v>
      </c>
      <c r="M4" t="s">
        <v>7</v>
      </c>
    </row>
    <row r="5" spans="2:13" x14ac:dyDescent="0.2">
      <c r="K5" t="s">
        <v>4</v>
      </c>
      <c r="L5" s="2">
        <f>12005+35066</f>
        <v>47071</v>
      </c>
      <c r="M5" t="s">
        <v>71</v>
      </c>
    </row>
    <row r="6" spans="2:13" x14ac:dyDescent="0.2">
      <c r="K6" t="s">
        <v>5</v>
      </c>
      <c r="L6" s="2">
        <v>28832</v>
      </c>
      <c r="M6" t="s">
        <v>71</v>
      </c>
    </row>
    <row r="7" spans="2:13" x14ac:dyDescent="0.2">
      <c r="K7" t="s">
        <v>6</v>
      </c>
      <c r="L7" s="2">
        <f>+L4-L5+L6</f>
        <v>1938247</v>
      </c>
    </row>
    <row r="8" spans="2:13" x14ac:dyDescent="0.2">
      <c r="D8" t="s">
        <v>96</v>
      </c>
      <c r="M8" s="2" t="s">
        <v>9</v>
      </c>
    </row>
    <row r="9" spans="2:13" x14ac:dyDescent="0.2">
      <c r="D9" t="s">
        <v>97</v>
      </c>
      <c r="E9">
        <v>75945</v>
      </c>
      <c r="F9" t="s">
        <v>98</v>
      </c>
      <c r="K9" t="s">
        <v>67</v>
      </c>
      <c r="L9" t="s">
        <v>9</v>
      </c>
    </row>
    <row r="10" spans="2:13" x14ac:dyDescent="0.2">
      <c r="K10">
        <f>+L7/model!AA14</f>
        <v>31.081574727389352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6DA0-8374-4467-8FA3-46D3F4C0B8C0}">
  <dimension ref="A1:BM93"/>
  <sheetViews>
    <sheetView tabSelected="1" workbookViewId="0">
      <pane xSplit="1" ySplit="2" topLeftCell="V7" activePane="bottomRight" state="frozen"/>
      <selection pane="topRight" activeCell="B1" sqref="B1"/>
      <selection pane="bottomLeft" activeCell="A3" sqref="A3"/>
      <selection pane="bottomRight" activeCell="Y33" sqref="Y33"/>
    </sheetView>
  </sheetViews>
  <sheetFormatPr defaultRowHeight="14.25" x14ac:dyDescent="0.2"/>
  <cols>
    <col min="1" max="1" width="14.875" style="2" bestFit="1" customWidth="1"/>
    <col min="2" max="2" width="14.75" style="2" customWidth="1"/>
    <col min="3" max="18" width="9" style="2"/>
    <col min="19" max="19" width="11.75" style="2" bestFit="1" customWidth="1"/>
    <col min="20" max="20" width="11.75" style="2" customWidth="1"/>
    <col min="21" max="21" width="17.625" style="2" bestFit="1" customWidth="1"/>
    <col min="22" max="23" width="17.625" style="2" customWidth="1"/>
    <col min="24" max="26" width="9" style="2"/>
    <col min="27" max="27" width="9" style="2" bestFit="1" customWidth="1"/>
    <col min="28" max="16384" width="9" style="2"/>
  </cols>
  <sheetData>
    <row r="1" spans="1:65" ht="15" x14ac:dyDescent="0.25">
      <c r="AA1" s="3">
        <f>+Z3*1.2</f>
        <v>161881.19999999998</v>
      </c>
    </row>
    <row r="2" spans="1:65" x14ac:dyDescent="0.2">
      <c r="A2" s="2" t="s">
        <v>9</v>
      </c>
      <c r="B2" s="2" t="s">
        <v>31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68</v>
      </c>
      <c r="M2" s="2" t="s">
        <v>69</v>
      </c>
      <c r="N2" s="2" t="s">
        <v>70</v>
      </c>
      <c r="O2" s="2" t="s">
        <v>71</v>
      </c>
      <c r="Y2" s="2">
        <v>2022</v>
      </c>
      <c r="Z2" s="2">
        <f>+Y2+1</f>
        <v>2023</v>
      </c>
      <c r="AA2" s="2">
        <f t="shared" ref="AA2:AG2" si="0">+Z2+1</f>
        <v>2024</v>
      </c>
      <c r="AB2" s="2">
        <f t="shared" si="0"/>
        <v>2025</v>
      </c>
      <c r="AC2" s="2">
        <f t="shared" si="0"/>
        <v>2026</v>
      </c>
      <c r="AD2" s="2">
        <f t="shared" si="0"/>
        <v>2027</v>
      </c>
      <c r="AE2" s="2">
        <f t="shared" si="0"/>
        <v>2028</v>
      </c>
      <c r="AF2" s="2">
        <f t="shared" si="0"/>
        <v>2029</v>
      </c>
      <c r="AG2" s="2">
        <f t="shared" si="0"/>
        <v>2030</v>
      </c>
    </row>
    <row r="3" spans="1:65" s="3" customFormat="1" ht="15" x14ac:dyDescent="0.25">
      <c r="A3" s="3" t="s">
        <v>8</v>
      </c>
      <c r="B3" s="3">
        <v>27908</v>
      </c>
      <c r="C3" s="3">
        <v>28822</v>
      </c>
      <c r="D3" s="3">
        <v>27714</v>
      </c>
      <c r="E3" s="3">
        <v>32165</v>
      </c>
      <c r="F3" s="3">
        <v>28645</v>
      </c>
      <c r="G3" s="3">
        <v>31999</v>
      </c>
      <c r="H3" s="3">
        <v>34146</v>
      </c>
      <c r="I3" s="3">
        <v>40111</v>
      </c>
      <c r="J3" s="3">
        <v>36455</v>
      </c>
      <c r="K3" s="3">
        <v>39071</v>
      </c>
      <c r="L3" s="3">
        <v>40589</v>
      </c>
      <c r="M3" s="3">
        <v>48385</v>
      </c>
      <c r="N3" s="3">
        <v>42314</v>
      </c>
      <c r="O3" s="3">
        <v>47516</v>
      </c>
      <c r="Y3" s="3">
        <f>SUM(B3:E3)</f>
        <v>116609</v>
      </c>
      <c r="Z3" s="3">
        <f>SUM(F3:I3)</f>
        <v>134901</v>
      </c>
      <c r="AA3" s="3">
        <f>SUM(J3:M3)</f>
        <v>164500</v>
      </c>
      <c r="AB3" s="3">
        <f>+AA1*1.2</f>
        <v>194257.43999999997</v>
      </c>
      <c r="AC3" s="3">
        <f>+AB3*1.2</f>
        <v>233108.92799999996</v>
      </c>
      <c r="AD3" s="3">
        <f>+AC3*1.2</f>
        <v>279730.71359999996</v>
      </c>
      <c r="AE3" s="3">
        <f>+AD3*1.2</f>
        <v>335676.85631999996</v>
      </c>
      <c r="AF3" s="3">
        <f t="shared" ref="AE3:AG3" si="1">+AE3*1.15</f>
        <v>386028.38476799993</v>
      </c>
      <c r="AG3" s="3">
        <f t="shared" si="1"/>
        <v>443932.64248319989</v>
      </c>
    </row>
    <row r="4" spans="1:65" ht="15" x14ac:dyDescent="0.25">
      <c r="A4" s="2" t="s">
        <v>19</v>
      </c>
      <c r="B4" s="2">
        <v>6005</v>
      </c>
      <c r="C4" s="2">
        <v>5192</v>
      </c>
      <c r="D4" s="2">
        <v>5716</v>
      </c>
      <c r="E4" s="2">
        <v>8336</v>
      </c>
      <c r="F4" s="2">
        <v>6108</v>
      </c>
      <c r="G4" s="2">
        <v>5945</v>
      </c>
      <c r="H4" s="2">
        <v>6210</v>
      </c>
      <c r="I4" s="2">
        <v>7695</v>
      </c>
      <c r="J4" s="2">
        <v>6640</v>
      </c>
      <c r="K4" s="2">
        <v>7308</v>
      </c>
      <c r="L4" s="2">
        <v>7375</v>
      </c>
      <c r="M4" s="2">
        <v>8839</v>
      </c>
      <c r="N4" s="2">
        <v>7572</v>
      </c>
      <c r="O4" s="2">
        <v>8491</v>
      </c>
      <c r="V4" s="2" t="s">
        <v>9</v>
      </c>
      <c r="Y4" s="2">
        <f>SUM(B4:E4)</f>
        <v>25249</v>
      </c>
      <c r="Z4" s="2">
        <f>SUM(F4:I4)</f>
        <v>25958</v>
      </c>
      <c r="AA4" s="3">
        <f>SUM(J4:M4)</f>
        <v>30162</v>
      </c>
      <c r="AB4" s="2">
        <f>+AA4*1.1</f>
        <v>33178.200000000004</v>
      </c>
      <c r="AC4" s="2">
        <f t="shared" ref="AC4:AG4" si="2">+AB4*1.1</f>
        <v>36496.020000000011</v>
      </c>
      <c r="AD4" s="2">
        <f t="shared" si="2"/>
        <v>40145.622000000018</v>
      </c>
      <c r="AE4" s="2">
        <f t="shared" si="2"/>
        <v>44160.184200000025</v>
      </c>
      <c r="AF4" s="2">
        <f t="shared" si="2"/>
        <v>48576.202620000033</v>
      </c>
      <c r="AG4" s="2">
        <f t="shared" si="2"/>
        <v>53433.822882000037</v>
      </c>
    </row>
    <row r="5" spans="1:65" s="3" customFormat="1" ht="15" x14ac:dyDescent="0.25">
      <c r="A5" s="3" t="s">
        <v>20</v>
      </c>
      <c r="B5" s="3">
        <f t="shared" ref="B5:K5" si="3">+B3-B4</f>
        <v>21903</v>
      </c>
      <c r="C5" s="3">
        <f t="shared" si="3"/>
        <v>23630</v>
      </c>
      <c r="D5" s="3">
        <f t="shared" si="3"/>
        <v>21998</v>
      </c>
      <c r="E5" s="3">
        <f t="shared" si="3"/>
        <v>23829</v>
      </c>
      <c r="F5" s="3">
        <f t="shared" si="3"/>
        <v>22537</v>
      </c>
      <c r="G5" s="3">
        <f t="shared" si="3"/>
        <v>26054</v>
      </c>
      <c r="H5" s="3">
        <f t="shared" si="3"/>
        <v>27936</v>
      </c>
      <c r="I5" s="3">
        <f t="shared" si="3"/>
        <v>32416</v>
      </c>
      <c r="J5" s="3">
        <f t="shared" si="3"/>
        <v>29815</v>
      </c>
      <c r="K5" s="3">
        <f t="shared" si="3"/>
        <v>31763</v>
      </c>
      <c r="L5" s="3">
        <f t="shared" ref="L5:M5" si="4">+L3-L4</f>
        <v>33214</v>
      </c>
      <c r="M5" s="3">
        <f t="shared" si="4"/>
        <v>39546</v>
      </c>
      <c r="N5" s="3">
        <f t="shared" ref="N5:O5" si="5">+N3-N4</f>
        <v>34742</v>
      </c>
      <c r="O5" s="3">
        <f t="shared" si="5"/>
        <v>39025</v>
      </c>
      <c r="W5" s="3" t="s">
        <v>9</v>
      </c>
      <c r="Y5" s="3">
        <f>+Y3-Y4</f>
        <v>91360</v>
      </c>
      <c r="Z5" s="3">
        <f>+Z3-Z4</f>
        <v>108943</v>
      </c>
      <c r="AA5" s="3">
        <f>+AA3-AA4</f>
        <v>134338</v>
      </c>
      <c r="AB5" s="3">
        <f t="shared" ref="AB5:AG5" si="6">+AB3-AB4</f>
        <v>161079.23999999996</v>
      </c>
      <c r="AC5" s="3">
        <f t="shared" si="6"/>
        <v>196612.90799999994</v>
      </c>
      <c r="AD5" s="3">
        <f t="shared" si="6"/>
        <v>239585.09159999993</v>
      </c>
      <c r="AE5" s="3">
        <f t="shared" si="6"/>
        <v>291516.67211999994</v>
      </c>
      <c r="AF5" s="3">
        <f t="shared" si="6"/>
        <v>337452.18214799988</v>
      </c>
      <c r="AG5" s="3">
        <f t="shared" si="6"/>
        <v>390498.81960119982</v>
      </c>
    </row>
    <row r="6" spans="1:65" x14ac:dyDescent="0.2">
      <c r="A6" s="2" t="s">
        <v>21</v>
      </c>
      <c r="B6" s="2">
        <v>7707</v>
      </c>
      <c r="C6" s="2">
        <v>8690</v>
      </c>
      <c r="D6" s="2">
        <v>9170</v>
      </c>
      <c r="E6" s="2">
        <v>9771</v>
      </c>
      <c r="F6" s="2">
        <v>9381</v>
      </c>
      <c r="G6" s="2">
        <v>9344</v>
      </c>
      <c r="H6" s="2">
        <v>9241</v>
      </c>
      <c r="I6" s="2">
        <v>10517</v>
      </c>
      <c r="J6" s="2">
        <v>9978</v>
      </c>
      <c r="K6" s="2">
        <v>10537</v>
      </c>
      <c r="L6" s="7">
        <v>11177</v>
      </c>
      <c r="M6" s="7">
        <v>12180</v>
      </c>
      <c r="N6" s="7">
        <v>12150</v>
      </c>
      <c r="O6" s="7">
        <v>12942</v>
      </c>
      <c r="U6" s="2" t="s">
        <v>9</v>
      </c>
      <c r="Y6" s="2">
        <f>SUM(B6:E6)</f>
        <v>35338</v>
      </c>
      <c r="Z6" s="2">
        <f>SUM(F6:I6)</f>
        <v>38483</v>
      </c>
      <c r="AA6" s="7">
        <f t="shared" ref="AA6:AA8" si="7">SUM(J6:M6)</f>
        <v>43872</v>
      </c>
      <c r="AB6" s="2">
        <f t="shared" ref="AB6:AG6" si="8">+AA6*1.05</f>
        <v>46065.599999999999</v>
      </c>
      <c r="AC6" s="2">
        <f t="shared" si="8"/>
        <v>48368.88</v>
      </c>
      <c r="AD6" s="2">
        <f t="shared" si="8"/>
        <v>50787.324000000001</v>
      </c>
      <c r="AE6" s="2">
        <f t="shared" si="8"/>
        <v>53326.690200000005</v>
      </c>
      <c r="AF6" s="2">
        <f t="shared" si="8"/>
        <v>55993.024710000005</v>
      </c>
      <c r="AG6" s="2">
        <f t="shared" si="8"/>
        <v>58792.675945500006</v>
      </c>
    </row>
    <row r="7" spans="1:65" x14ac:dyDescent="0.2">
      <c r="A7" s="2" t="s">
        <v>22</v>
      </c>
      <c r="B7" s="2">
        <v>3312</v>
      </c>
      <c r="C7" s="2">
        <v>3595</v>
      </c>
      <c r="D7" s="2">
        <v>3780</v>
      </c>
      <c r="E7" s="2">
        <v>4574</v>
      </c>
      <c r="F7" s="2">
        <v>3044</v>
      </c>
      <c r="G7" s="2">
        <v>3154</v>
      </c>
      <c r="H7" s="2">
        <v>2877</v>
      </c>
      <c r="I7" s="2">
        <v>3226</v>
      </c>
      <c r="J7" s="2">
        <v>2564</v>
      </c>
      <c r="K7" s="2">
        <v>2721</v>
      </c>
      <c r="L7" s="2">
        <v>2822</v>
      </c>
      <c r="M7" s="2">
        <v>3240</v>
      </c>
      <c r="N7" s="2">
        <v>2757</v>
      </c>
      <c r="O7" s="2">
        <v>2979</v>
      </c>
      <c r="Y7" s="2">
        <f>SUM(B7:E7)</f>
        <v>15261</v>
      </c>
      <c r="Z7" s="2">
        <f>SUM(F7:I7)</f>
        <v>12301</v>
      </c>
      <c r="AA7" s="7">
        <f t="shared" si="7"/>
        <v>11347</v>
      </c>
      <c r="AB7" s="2">
        <f t="shared" ref="AA7:AG7" si="9">+AA7*1.03</f>
        <v>11687.41</v>
      </c>
      <c r="AC7" s="2">
        <f t="shared" si="9"/>
        <v>12038.032300000001</v>
      </c>
      <c r="AD7" s="2">
        <f t="shared" si="9"/>
        <v>12399.173269000001</v>
      </c>
      <c r="AE7" s="2">
        <f t="shared" si="9"/>
        <v>12771.148467070001</v>
      </c>
      <c r="AF7" s="2">
        <f t="shared" si="9"/>
        <v>13154.282921082102</v>
      </c>
      <c r="AG7" s="2">
        <f t="shared" si="9"/>
        <v>13548.911408714564</v>
      </c>
    </row>
    <row r="8" spans="1:65" x14ac:dyDescent="0.2">
      <c r="A8" s="2" t="s">
        <v>23</v>
      </c>
      <c r="B8" s="2">
        <v>2360</v>
      </c>
      <c r="C8" s="2">
        <v>2987</v>
      </c>
      <c r="D8" s="2">
        <v>3384</v>
      </c>
      <c r="E8" s="2">
        <v>3085</v>
      </c>
      <c r="F8" s="2">
        <v>2885</v>
      </c>
      <c r="G8" s="2">
        <v>4164</v>
      </c>
      <c r="H8" s="2">
        <v>2070</v>
      </c>
      <c r="I8" s="2">
        <v>2289</v>
      </c>
      <c r="J8" s="2">
        <v>3455</v>
      </c>
      <c r="K8" s="2">
        <v>3658</v>
      </c>
      <c r="L8" s="2">
        <v>1865</v>
      </c>
      <c r="M8" s="2">
        <v>761</v>
      </c>
      <c r="N8" s="2">
        <v>2280</v>
      </c>
      <c r="O8" s="2">
        <v>2663</v>
      </c>
      <c r="Y8" s="2">
        <f>SUM(B8:E8)</f>
        <v>11816</v>
      </c>
      <c r="Z8" s="2">
        <f>SUM(F8:I8)</f>
        <v>11408</v>
      </c>
      <c r="AA8" s="7">
        <f t="shared" si="7"/>
        <v>9739</v>
      </c>
      <c r="AB8" s="2">
        <f t="shared" ref="AB8:AG8" si="10">+AA8</f>
        <v>9739</v>
      </c>
      <c r="AC8" s="2">
        <f t="shared" si="10"/>
        <v>9739</v>
      </c>
      <c r="AD8" s="2">
        <f t="shared" si="10"/>
        <v>9739</v>
      </c>
      <c r="AE8" s="2">
        <f t="shared" si="10"/>
        <v>9739</v>
      </c>
      <c r="AF8" s="2">
        <f t="shared" si="10"/>
        <v>9739</v>
      </c>
      <c r="AG8" s="2">
        <f t="shared" si="10"/>
        <v>9739</v>
      </c>
    </row>
    <row r="9" spans="1:65" x14ac:dyDescent="0.2">
      <c r="A9" s="2" t="s">
        <v>30</v>
      </c>
      <c r="B9" s="2">
        <f t="shared" ref="B9:L9" si="11">+B6+B7+B8</f>
        <v>13379</v>
      </c>
      <c r="C9" s="2">
        <f t="shared" si="11"/>
        <v>15272</v>
      </c>
      <c r="D9" s="2">
        <f t="shared" si="11"/>
        <v>16334</v>
      </c>
      <c r="E9" s="2">
        <f t="shared" si="11"/>
        <v>17430</v>
      </c>
      <c r="F9" s="2">
        <f t="shared" si="11"/>
        <v>15310</v>
      </c>
      <c r="G9" s="2">
        <f t="shared" si="11"/>
        <v>16662</v>
      </c>
      <c r="H9" s="2">
        <f t="shared" si="11"/>
        <v>14188</v>
      </c>
      <c r="I9" s="2">
        <f t="shared" si="11"/>
        <v>16032</v>
      </c>
      <c r="J9" s="2">
        <f t="shared" si="11"/>
        <v>15997</v>
      </c>
      <c r="K9" s="2">
        <f t="shared" si="11"/>
        <v>16916</v>
      </c>
      <c r="L9" s="2">
        <f t="shared" si="11"/>
        <v>15864</v>
      </c>
      <c r="M9" s="2">
        <f t="shared" ref="M9:N9" si="12">+M6+M7+M8</f>
        <v>16181</v>
      </c>
      <c r="N9" s="2">
        <f t="shared" si="12"/>
        <v>17187</v>
      </c>
      <c r="O9" s="2">
        <f t="shared" ref="N9:O9" si="13">+O6+O7+O8</f>
        <v>18584</v>
      </c>
      <c r="Y9" s="2">
        <f t="shared" ref="Y9:AF9" si="14">+Y6+Y7+Y8</f>
        <v>62415</v>
      </c>
      <c r="Z9" s="2">
        <f t="shared" si="14"/>
        <v>62192</v>
      </c>
      <c r="AA9" s="2">
        <f t="shared" ref="AA9" si="15">+AA6+AA7+AA8</f>
        <v>64958</v>
      </c>
      <c r="AB9" s="2">
        <f t="shared" si="14"/>
        <v>67492.009999999995</v>
      </c>
      <c r="AC9" s="2">
        <f t="shared" si="14"/>
        <v>70145.912299999996</v>
      </c>
      <c r="AD9" s="2">
        <f t="shared" si="14"/>
        <v>72925.497269</v>
      </c>
      <c r="AE9" s="2">
        <f t="shared" si="14"/>
        <v>75836.838667069998</v>
      </c>
      <c r="AF9" s="2">
        <f t="shared" si="14"/>
        <v>78886.307631082105</v>
      </c>
      <c r="AG9" s="2">
        <f t="shared" ref="AG9" si="16">+AG6+AG7+AG8</f>
        <v>82080.587354214571</v>
      </c>
    </row>
    <row r="10" spans="1:65" s="3" customFormat="1" ht="15" x14ac:dyDescent="0.25">
      <c r="A10" s="3" t="s">
        <v>24</v>
      </c>
      <c r="B10" s="3">
        <f t="shared" ref="B10:L10" si="17">+B5-B9</f>
        <v>8524</v>
      </c>
      <c r="C10" s="3">
        <f t="shared" si="17"/>
        <v>8358</v>
      </c>
      <c r="D10" s="3">
        <f t="shared" si="17"/>
        <v>5664</v>
      </c>
      <c r="E10" s="3">
        <f t="shared" si="17"/>
        <v>6399</v>
      </c>
      <c r="F10" s="3">
        <f t="shared" si="17"/>
        <v>7227</v>
      </c>
      <c r="G10" s="3">
        <f t="shared" si="17"/>
        <v>9392</v>
      </c>
      <c r="H10" s="3">
        <f t="shared" si="17"/>
        <v>13748</v>
      </c>
      <c r="I10" s="3">
        <f t="shared" si="17"/>
        <v>16384</v>
      </c>
      <c r="J10" s="3">
        <f t="shared" si="17"/>
        <v>13818</v>
      </c>
      <c r="K10" s="3">
        <f t="shared" si="17"/>
        <v>14847</v>
      </c>
      <c r="L10" s="3">
        <f t="shared" si="17"/>
        <v>17350</v>
      </c>
      <c r="M10" s="3">
        <f t="shared" ref="M10:N10" si="18">+M5-M9</f>
        <v>23365</v>
      </c>
      <c r="N10" s="3">
        <f t="shared" si="18"/>
        <v>17555</v>
      </c>
      <c r="O10" s="3">
        <f t="shared" ref="N10:O10" si="19">+O5-O9</f>
        <v>20441</v>
      </c>
      <c r="Y10" s="3">
        <f t="shared" ref="Y10:AF10" si="20">+Y5-Y9</f>
        <v>28945</v>
      </c>
      <c r="Z10" s="3">
        <f t="shared" si="20"/>
        <v>46751</v>
      </c>
      <c r="AA10" s="3">
        <f t="shared" ref="AA10" si="21">+AA5-AA9</f>
        <v>69380</v>
      </c>
      <c r="AB10" s="3">
        <f t="shared" si="20"/>
        <v>93587.229999999967</v>
      </c>
      <c r="AC10" s="3">
        <f t="shared" si="20"/>
        <v>126466.99569999994</v>
      </c>
      <c r="AD10" s="3">
        <f t="shared" si="20"/>
        <v>166659.59433099994</v>
      </c>
      <c r="AE10" s="3">
        <f t="shared" si="20"/>
        <v>215679.83345292995</v>
      </c>
      <c r="AF10" s="3">
        <f t="shared" si="20"/>
        <v>258565.87451691777</v>
      </c>
      <c r="AG10" s="3">
        <f t="shared" ref="AG10" si="22">+AG5-AG9</f>
        <v>308418.23224698525</v>
      </c>
    </row>
    <row r="11" spans="1:65" s="6" customFormat="1" x14ac:dyDescent="0.2">
      <c r="A11" s="2" t="s">
        <v>25</v>
      </c>
      <c r="B11" s="6">
        <v>384</v>
      </c>
      <c r="C11" s="6">
        <v>-172</v>
      </c>
      <c r="D11" s="6">
        <v>-88</v>
      </c>
      <c r="E11" s="6">
        <v>-250</v>
      </c>
      <c r="F11" s="6">
        <v>80</v>
      </c>
      <c r="G11" s="6">
        <v>-99</v>
      </c>
      <c r="H11" s="6">
        <v>272</v>
      </c>
      <c r="I11" s="6">
        <v>424</v>
      </c>
      <c r="J11" s="6">
        <v>365</v>
      </c>
      <c r="K11" s="6">
        <v>259</v>
      </c>
      <c r="L11" s="6">
        <v>472</v>
      </c>
      <c r="M11" s="6">
        <v>188</v>
      </c>
      <c r="N11" s="6">
        <v>827</v>
      </c>
      <c r="O11" s="6">
        <v>93</v>
      </c>
      <c r="S11" s="2"/>
      <c r="T11" s="2"/>
      <c r="U11" s="2"/>
      <c r="V11" s="2"/>
      <c r="W11" s="2"/>
      <c r="X11" s="2" t="s">
        <v>9</v>
      </c>
      <c r="Y11" s="6">
        <f>SUM(B11:E11)</f>
        <v>-126</v>
      </c>
      <c r="Z11" s="6">
        <f>+(Z33*$V$15)</f>
        <v>931.40000000000009</v>
      </c>
      <c r="AA11" s="13">
        <f t="shared" ref="AA11:AA13" si="23">SUM(J11:M11)</f>
        <v>1284</v>
      </c>
      <c r="AB11" s="6">
        <f>+Z33*$V$15</f>
        <v>931.40000000000009</v>
      </c>
      <c r="AC11" s="6">
        <f t="shared" ref="AC11:AG11" si="24">+AA33*$V$15</f>
        <v>4049.4</v>
      </c>
      <c r="AD11" s="6">
        <f t="shared" si="24"/>
        <v>7830.145199999999</v>
      </c>
      <c r="AE11" s="6">
        <f t="shared" si="24"/>
        <v>13050.801027999996</v>
      </c>
      <c r="AF11" s="6">
        <f t="shared" si="24"/>
        <v>20030.390609239996</v>
      </c>
      <c r="AG11" s="6">
        <f t="shared" si="24"/>
        <v>29179.615988477191</v>
      </c>
    </row>
    <row r="12" spans="1:65" x14ac:dyDescent="0.2">
      <c r="A12" s="2" t="s">
        <v>26</v>
      </c>
      <c r="B12" s="2">
        <f t="shared" ref="B12:L12" si="25">+B10+B11</f>
        <v>8908</v>
      </c>
      <c r="C12" s="2">
        <f t="shared" si="25"/>
        <v>8186</v>
      </c>
      <c r="D12" s="2">
        <f t="shared" si="25"/>
        <v>5576</v>
      </c>
      <c r="E12" s="2">
        <f t="shared" si="25"/>
        <v>6149</v>
      </c>
      <c r="F12" s="2">
        <f t="shared" si="25"/>
        <v>7307</v>
      </c>
      <c r="G12" s="2">
        <f t="shared" si="25"/>
        <v>9293</v>
      </c>
      <c r="H12" s="2">
        <f t="shared" si="25"/>
        <v>14020</v>
      </c>
      <c r="I12" s="2">
        <f t="shared" si="25"/>
        <v>16808</v>
      </c>
      <c r="J12" s="2">
        <f t="shared" si="25"/>
        <v>14183</v>
      </c>
      <c r="K12" s="2">
        <f t="shared" si="25"/>
        <v>15106</v>
      </c>
      <c r="L12" s="2">
        <f t="shared" si="25"/>
        <v>17822</v>
      </c>
      <c r="M12" s="2">
        <f t="shared" ref="M12:N12" si="26">+M10+M11</f>
        <v>23553</v>
      </c>
      <c r="N12" s="2">
        <f t="shared" si="26"/>
        <v>18382</v>
      </c>
      <c r="O12" s="2">
        <f t="shared" ref="N12:O12" si="27">+O10+O11</f>
        <v>20534</v>
      </c>
      <c r="Y12" s="2">
        <f t="shared" ref="Y12:AF12" si="28">+Y10+Y11</f>
        <v>28819</v>
      </c>
      <c r="Z12" s="2">
        <f>+Z10+Z11</f>
        <v>47682.400000000001</v>
      </c>
      <c r="AA12" s="2">
        <f>+AA10+AA11</f>
        <v>70664</v>
      </c>
      <c r="AB12" s="2">
        <f t="shared" si="28"/>
        <v>94518.629999999961</v>
      </c>
      <c r="AC12" s="2">
        <f t="shared" si="28"/>
        <v>130516.39569999994</v>
      </c>
      <c r="AD12" s="2">
        <f t="shared" si="28"/>
        <v>174489.73953099994</v>
      </c>
      <c r="AE12" s="2">
        <f t="shared" si="28"/>
        <v>228730.63448092993</v>
      </c>
      <c r="AF12" s="2">
        <f t="shared" si="28"/>
        <v>278596.26512615778</v>
      </c>
      <c r="AG12" s="2">
        <f t="shared" ref="AG12" si="29">+AG10+AG11</f>
        <v>337597.84823546244</v>
      </c>
    </row>
    <row r="13" spans="1:65" x14ac:dyDescent="0.2">
      <c r="A13" s="2" t="s">
        <v>27</v>
      </c>
      <c r="B13" s="2">
        <v>1443</v>
      </c>
      <c r="C13" s="2">
        <v>1499</v>
      </c>
      <c r="D13" s="2">
        <v>1181</v>
      </c>
      <c r="E13" s="2">
        <v>1497</v>
      </c>
      <c r="F13" s="2">
        <v>1598</v>
      </c>
      <c r="G13" s="2">
        <v>1505</v>
      </c>
      <c r="H13" s="2">
        <v>2437</v>
      </c>
      <c r="I13" s="2">
        <v>2791</v>
      </c>
      <c r="J13" s="2">
        <v>1814</v>
      </c>
      <c r="K13" s="2">
        <v>1641</v>
      </c>
      <c r="L13" s="2">
        <v>2134</v>
      </c>
      <c r="M13" s="2">
        <v>2715</v>
      </c>
      <c r="N13" s="2">
        <v>1738</v>
      </c>
      <c r="O13" s="2">
        <v>2197</v>
      </c>
      <c r="Y13" s="2">
        <f>SUM(B13:E13)</f>
        <v>5620</v>
      </c>
      <c r="Z13" s="2">
        <f>SUM(F13:I13)</f>
        <v>8331</v>
      </c>
      <c r="AA13" s="7">
        <f t="shared" si="23"/>
        <v>8304</v>
      </c>
      <c r="AB13" s="2">
        <f t="shared" ref="AB13:AF13" si="30">+AB12*0.2</f>
        <v>18903.725999999991</v>
      </c>
      <c r="AC13" s="2">
        <f t="shared" si="30"/>
        <v>26103.279139999988</v>
      </c>
      <c r="AD13" s="2">
        <f t="shared" si="30"/>
        <v>34897.947906199988</v>
      </c>
      <c r="AE13" s="2">
        <f t="shared" si="30"/>
        <v>45746.12689618599</v>
      </c>
      <c r="AF13" s="2">
        <f t="shared" si="30"/>
        <v>55719.253025231563</v>
      </c>
      <c r="AG13" s="2">
        <f t="shared" ref="AG13" si="31">+AG12*0.2</f>
        <v>67519.569647092489</v>
      </c>
    </row>
    <row r="14" spans="1:65" s="3" customFormat="1" ht="15" x14ac:dyDescent="0.25">
      <c r="A14" s="3" t="s">
        <v>28</v>
      </c>
      <c r="B14" s="3">
        <f t="shared" ref="B14:L14" si="32">+B12-B13</f>
        <v>7465</v>
      </c>
      <c r="C14" s="3">
        <f t="shared" si="32"/>
        <v>6687</v>
      </c>
      <c r="D14" s="3">
        <f t="shared" si="32"/>
        <v>4395</v>
      </c>
      <c r="E14" s="3">
        <f t="shared" si="32"/>
        <v>4652</v>
      </c>
      <c r="F14" s="3">
        <f t="shared" si="32"/>
        <v>5709</v>
      </c>
      <c r="G14" s="3">
        <f t="shared" si="32"/>
        <v>7788</v>
      </c>
      <c r="H14" s="3">
        <f t="shared" si="32"/>
        <v>11583</v>
      </c>
      <c r="I14" s="3">
        <f t="shared" si="32"/>
        <v>14017</v>
      </c>
      <c r="J14" s="3">
        <f t="shared" si="32"/>
        <v>12369</v>
      </c>
      <c r="K14" s="3">
        <f t="shared" si="32"/>
        <v>13465</v>
      </c>
      <c r="L14" s="3">
        <f t="shared" si="32"/>
        <v>15688</v>
      </c>
      <c r="M14" s="3">
        <f t="shared" ref="M14:N14" si="33">+M12-M13</f>
        <v>20838</v>
      </c>
      <c r="N14" s="3">
        <f t="shared" si="33"/>
        <v>16644</v>
      </c>
      <c r="O14" s="3">
        <f t="shared" ref="N14:O14" si="34">+O12-O13</f>
        <v>18337</v>
      </c>
      <c r="X14" s="3" t="s">
        <v>9</v>
      </c>
      <c r="Y14" s="3">
        <f t="shared" ref="Y14:AF14" si="35">+Y12-Y13</f>
        <v>23199</v>
      </c>
      <c r="Z14" s="3">
        <f t="shared" si="35"/>
        <v>39351.4</v>
      </c>
      <c r="AA14" s="3">
        <f t="shared" si="35"/>
        <v>62360</v>
      </c>
      <c r="AB14" s="3">
        <f t="shared" si="35"/>
        <v>75614.903999999966</v>
      </c>
      <c r="AC14" s="3">
        <f t="shared" si="35"/>
        <v>104413.11655999995</v>
      </c>
      <c r="AD14" s="3">
        <f t="shared" si="35"/>
        <v>139591.79162479995</v>
      </c>
      <c r="AE14" s="3">
        <f t="shared" si="35"/>
        <v>182984.50758474396</v>
      </c>
      <c r="AF14" s="3">
        <f t="shared" si="35"/>
        <v>222877.01210092622</v>
      </c>
      <c r="AG14" s="3">
        <f t="shared" ref="AG14" si="36">+AG12-AG13</f>
        <v>270078.27858836995</v>
      </c>
      <c r="AH14" s="3">
        <f>+AG14*(1-$V$16)</f>
        <v>264676.71301660256</v>
      </c>
      <c r="AI14" s="3">
        <f t="shared" ref="AI14:BM14" si="37">+AH14*(1-$V$16)</f>
        <v>259383.1787562705</v>
      </c>
      <c r="AJ14" s="3">
        <f t="shared" si="37"/>
        <v>254195.51518114508</v>
      </c>
      <c r="AK14" s="3">
        <f t="shared" si="37"/>
        <v>249111.60487752219</v>
      </c>
      <c r="AL14" s="3">
        <f t="shared" si="37"/>
        <v>244129.37277997175</v>
      </c>
      <c r="AM14" s="3">
        <f t="shared" si="37"/>
        <v>239246.78532437229</v>
      </c>
      <c r="AN14" s="3">
        <f t="shared" si="37"/>
        <v>234461.84961788484</v>
      </c>
      <c r="AO14" s="3">
        <f t="shared" si="37"/>
        <v>229772.61262552714</v>
      </c>
      <c r="AP14" s="3">
        <f t="shared" si="37"/>
        <v>225177.16037301658</v>
      </c>
      <c r="AQ14" s="3">
        <f t="shared" si="37"/>
        <v>220673.61716555624</v>
      </c>
      <c r="AR14" s="3">
        <f t="shared" si="37"/>
        <v>216260.14482224511</v>
      </c>
      <c r="AS14" s="3">
        <f t="shared" si="37"/>
        <v>211934.9419258002</v>
      </c>
      <c r="AT14" s="3">
        <f t="shared" si="37"/>
        <v>207696.24308728418</v>
      </c>
      <c r="AU14" s="3">
        <f t="shared" si="37"/>
        <v>203542.3182255385</v>
      </c>
      <c r="AV14" s="3">
        <f t="shared" si="37"/>
        <v>199471.47186102773</v>
      </c>
      <c r="AW14" s="3">
        <f t="shared" si="37"/>
        <v>195482.04242380717</v>
      </c>
      <c r="AX14" s="3">
        <f t="shared" si="37"/>
        <v>191572.40157533102</v>
      </c>
      <c r="AY14" s="3">
        <f t="shared" si="37"/>
        <v>187740.95354382441</v>
      </c>
      <c r="AZ14" s="3">
        <f t="shared" si="37"/>
        <v>183986.13447294792</v>
      </c>
      <c r="BA14" s="3">
        <f t="shared" si="37"/>
        <v>180306.41178348896</v>
      </c>
      <c r="BB14" s="3">
        <f t="shared" si="37"/>
        <v>176700.28354781918</v>
      </c>
      <c r="BC14" s="3">
        <f t="shared" si="37"/>
        <v>173166.27787686279</v>
      </c>
      <c r="BD14" s="3">
        <f t="shared" si="37"/>
        <v>169702.95231932553</v>
      </c>
      <c r="BE14" s="3">
        <f t="shared" si="37"/>
        <v>166308.89327293902</v>
      </c>
      <c r="BF14" s="3">
        <f t="shared" si="37"/>
        <v>162982.71540748022</v>
      </c>
      <c r="BG14" s="3">
        <f t="shared" si="37"/>
        <v>159723.0610993306</v>
      </c>
      <c r="BH14" s="3">
        <f t="shared" si="37"/>
        <v>156528.59987734398</v>
      </c>
      <c r="BI14" s="3">
        <f t="shared" si="37"/>
        <v>153398.0278797971</v>
      </c>
      <c r="BJ14" s="3">
        <f t="shared" si="37"/>
        <v>150330.06732220115</v>
      </c>
      <c r="BK14" s="3">
        <f t="shared" si="37"/>
        <v>147323.46597575714</v>
      </c>
      <c r="BL14" s="3">
        <f t="shared" si="37"/>
        <v>144376.996656242</v>
      </c>
      <c r="BM14" s="3">
        <f t="shared" si="37"/>
        <v>141489.45672311715</v>
      </c>
    </row>
    <row r="15" spans="1:65" x14ac:dyDescent="0.2">
      <c r="A15" s="2" t="s">
        <v>29</v>
      </c>
      <c r="B15" s="4">
        <f t="shared" ref="B15:L15" si="38">+B14/B16</f>
        <v>2.7394495412844035</v>
      </c>
      <c r="C15" s="4">
        <f t="shared" si="38"/>
        <v>2.4730029585798818</v>
      </c>
      <c r="D15" s="4">
        <f t="shared" si="38"/>
        <v>1.638702460850112</v>
      </c>
      <c r="E15" s="4">
        <f t="shared" si="38"/>
        <v>1.7634571645185746</v>
      </c>
      <c r="F15" s="4">
        <f t="shared" si="38"/>
        <v>2.206803247004252</v>
      </c>
      <c r="G15" s="4">
        <f t="shared" si="38"/>
        <v>3.0327102803738319</v>
      </c>
      <c r="H15" s="4">
        <f t="shared" si="38"/>
        <v>4.4965062111801242</v>
      </c>
      <c r="I15" s="4">
        <f t="shared" si="38"/>
        <v>5.4625876851130162</v>
      </c>
      <c r="J15" s="4">
        <f t="shared" si="38"/>
        <v>4.8601178781925345</v>
      </c>
      <c r="K15" s="4">
        <f t="shared" si="38"/>
        <v>5.3137332280978686</v>
      </c>
      <c r="L15" s="4">
        <f t="shared" si="38"/>
        <v>6.2032423882957692</v>
      </c>
      <c r="M15" s="4">
        <f t="shared" ref="M15:N15" si="39">+M14/M16</f>
        <v>8.2396204033214708</v>
      </c>
      <c r="N15" s="4">
        <f t="shared" si="39"/>
        <v>6.5864661654135341</v>
      </c>
      <c r="O15" s="4">
        <f t="shared" ref="N15:O15" si="40">+O14/O16</f>
        <v>7.2823669579030978</v>
      </c>
      <c r="U15" s="2" t="s">
        <v>33</v>
      </c>
      <c r="V15" s="5">
        <v>0.05</v>
      </c>
      <c r="Y15" s="2">
        <f t="shared" ref="Y15:AF15" si="41">+Y14/Y16</f>
        <v>8.6329891152665361</v>
      </c>
      <c r="Z15" s="2">
        <f t="shared" si="41"/>
        <v>15.286549480431194</v>
      </c>
      <c r="AA15" s="2">
        <f t="shared" si="41"/>
        <v>24.606885666370722</v>
      </c>
      <c r="AB15" s="2">
        <f t="shared" si="41"/>
        <v>29.837192068659352</v>
      </c>
      <c r="AC15" s="2">
        <f t="shared" si="41"/>
        <v>41.200795722600354</v>
      </c>
      <c r="AD15" s="2">
        <f t="shared" si="41"/>
        <v>55.08209198966162</v>
      </c>
      <c r="AE15" s="2">
        <f t="shared" si="41"/>
        <v>72.204600013709765</v>
      </c>
      <c r="AF15" s="2">
        <f t="shared" si="41"/>
        <v>87.945945388547386</v>
      </c>
      <c r="AG15" s="2">
        <f t="shared" ref="AG15" si="42">+AG14/AG16</f>
        <v>106.57128483313404</v>
      </c>
    </row>
    <row r="16" spans="1:65" x14ac:dyDescent="0.2">
      <c r="A16" s="2" t="s">
        <v>2</v>
      </c>
      <c r="B16" s="2">
        <v>2725</v>
      </c>
      <c r="C16" s="2">
        <v>2704</v>
      </c>
      <c r="D16" s="2">
        <v>2682</v>
      </c>
      <c r="E16" s="2">
        <v>2638</v>
      </c>
      <c r="F16" s="2">
        <v>2587</v>
      </c>
      <c r="G16" s="2">
        <v>2568</v>
      </c>
      <c r="H16" s="2">
        <v>2576</v>
      </c>
      <c r="I16" s="2">
        <v>2566</v>
      </c>
      <c r="J16" s="2">
        <v>2545</v>
      </c>
      <c r="K16" s="2">
        <v>2534</v>
      </c>
      <c r="L16" s="2">
        <v>2529</v>
      </c>
      <c r="M16" s="2">
        <v>2529</v>
      </c>
      <c r="N16" s="2">
        <v>2527</v>
      </c>
      <c r="O16" s="2">
        <v>2518</v>
      </c>
      <c r="U16" s="2" t="s">
        <v>34</v>
      </c>
      <c r="V16" s="5">
        <v>0.02</v>
      </c>
      <c r="X16" s="2" t="s">
        <v>9</v>
      </c>
      <c r="Y16" s="2">
        <f>AVERAGE(B16:E16)</f>
        <v>2687.25</v>
      </c>
      <c r="Z16" s="2">
        <f>AVERAGE(F16:I16)</f>
        <v>2574.25</v>
      </c>
      <c r="AA16" s="2">
        <f>AVERAGE(J16:M16)</f>
        <v>2534.25</v>
      </c>
      <c r="AB16" s="2">
        <f t="shared" ref="AB16:AG16" si="43">+AA16</f>
        <v>2534.25</v>
      </c>
      <c r="AC16" s="2">
        <f t="shared" si="43"/>
        <v>2534.25</v>
      </c>
      <c r="AD16" s="2">
        <f t="shared" si="43"/>
        <v>2534.25</v>
      </c>
      <c r="AE16" s="2">
        <f t="shared" si="43"/>
        <v>2534.25</v>
      </c>
      <c r="AF16" s="2">
        <f t="shared" si="43"/>
        <v>2534.25</v>
      </c>
      <c r="AG16" s="2">
        <f t="shared" si="43"/>
        <v>2534.25</v>
      </c>
    </row>
    <row r="17" spans="1:33" x14ac:dyDescent="0.2">
      <c r="A17" s="2" t="s">
        <v>9</v>
      </c>
      <c r="U17" s="2" t="s">
        <v>35</v>
      </c>
      <c r="V17" s="5">
        <v>7.0000000000000007E-2</v>
      </c>
    </row>
    <row r="18" spans="1:33" s="8" customFormat="1" ht="15" x14ac:dyDescent="0.25">
      <c r="A18" s="8" t="s">
        <v>32</v>
      </c>
      <c r="F18" s="8">
        <f t="shared" ref="F18:H18" si="44">+F5/B5-1</f>
        <v>2.8945806510523697E-2</v>
      </c>
      <c r="G18" s="8">
        <f t="shared" si="44"/>
        <v>0.1025814642403724</v>
      </c>
      <c r="H18" s="8">
        <f t="shared" si="44"/>
        <v>0.26993363033002993</v>
      </c>
      <c r="I18" s="8">
        <f>+I5/E5-1</f>
        <v>0.36035922615300686</v>
      </c>
      <c r="J18" s="8">
        <f t="shared" ref="J18:K18" si="45">+J5/F5-1</f>
        <v>0.32293561698540185</v>
      </c>
      <c r="K18" s="8">
        <f t="shared" si="45"/>
        <v>0.21912182390419899</v>
      </c>
      <c r="L18" s="8">
        <f t="shared" ref="L18:O18" si="46">+L5/H5-1</f>
        <v>0.18893184421534936</v>
      </c>
      <c r="M18" s="8">
        <f t="shared" si="46"/>
        <v>0.21995310957551828</v>
      </c>
      <c r="N18" s="8">
        <f t="shared" si="46"/>
        <v>0.16525238973670975</v>
      </c>
      <c r="O18" s="8">
        <f t="shared" si="46"/>
        <v>0.22863079683908949</v>
      </c>
      <c r="U18" s="8" t="s">
        <v>36</v>
      </c>
      <c r="V18" s="10">
        <f>NPV(V17,Y14:BM14)</f>
        <v>2226152.2745844992</v>
      </c>
      <c r="Y18" s="8" t="s">
        <v>9</v>
      </c>
      <c r="Z18" s="8">
        <f>+Z3/Y3-1</f>
        <v>0.15686610810486323</v>
      </c>
      <c r="AA18" s="8">
        <f>+AA1/Z3-1</f>
        <v>0.19999999999999996</v>
      </c>
      <c r="AB18" s="8">
        <f>+AB3/AA1-1</f>
        <v>0.19999999999999996</v>
      </c>
      <c r="AC18" s="8">
        <f t="shared" ref="AA18:AG18" si="47">+AC3/AB3-1</f>
        <v>0.19999999999999996</v>
      </c>
      <c r="AD18" s="8">
        <f t="shared" si="47"/>
        <v>0.19999999999999996</v>
      </c>
      <c r="AE18" s="8">
        <f t="shared" si="47"/>
        <v>0.19999999999999996</v>
      </c>
      <c r="AF18" s="8">
        <f t="shared" si="47"/>
        <v>0.14999999999999991</v>
      </c>
      <c r="AG18" s="8">
        <f t="shared" si="47"/>
        <v>0.14999999999999991</v>
      </c>
    </row>
    <row r="19" spans="1:33" s="9" customFormat="1" x14ac:dyDescent="0.2">
      <c r="A19" s="9" t="s">
        <v>99</v>
      </c>
      <c r="F19" s="9">
        <f t="shared" ref="F19:J19" si="48">+F14/B14-1</f>
        <v>-0.23523107836570667</v>
      </c>
      <c r="G19" s="9">
        <f t="shared" si="48"/>
        <v>0.16464782413638401</v>
      </c>
      <c r="H19" s="9">
        <f t="shared" si="48"/>
        <v>1.6354948805460752</v>
      </c>
      <c r="I19" s="9">
        <f t="shared" si="48"/>
        <v>2.0131126397248496</v>
      </c>
      <c r="J19" s="9">
        <f t="shared" si="48"/>
        <v>1.16657908565423</v>
      </c>
      <c r="K19" s="9">
        <f>+K14/G14-1</f>
        <v>0.72894196199280947</v>
      </c>
      <c r="L19" s="9">
        <f>+L14/H14-1</f>
        <v>0.3543986877320211</v>
      </c>
      <c r="M19" s="9">
        <f>+M14/I14-1</f>
        <v>0.4866233858885638</v>
      </c>
      <c r="N19" s="9">
        <f>+N14/J14-1</f>
        <v>0.34562211981566815</v>
      </c>
      <c r="O19" s="9">
        <f>+O14/K14-1</f>
        <v>0.36182695878202753</v>
      </c>
      <c r="U19" s="9" t="s">
        <v>47</v>
      </c>
      <c r="V19" s="11">
        <f>+main!L5-main!L6</f>
        <v>18239</v>
      </c>
      <c r="Y19" s="9" t="s">
        <v>9</v>
      </c>
      <c r="Z19" s="9">
        <f>+Z14/Y14-1</f>
        <v>0.6962541488857279</v>
      </c>
      <c r="AA19" s="9">
        <f t="shared" ref="AA19:AG19" si="49">+AA14/Z14-1</f>
        <v>0.58469584309579825</v>
      </c>
      <c r="AB19" s="9">
        <f t="shared" si="49"/>
        <v>0.21255458627325163</v>
      </c>
      <c r="AC19" s="9">
        <f t="shared" si="49"/>
        <v>0.38085365498843982</v>
      </c>
      <c r="AD19" s="9">
        <f t="shared" si="49"/>
        <v>0.33691815955502991</v>
      </c>
      <c r="AE19" s="9">
        <f t="shared" si="49"/>
        <v>0.31085435221418023</v>
      </c>
      <c r="AF19" s="9">
        <f t="shared" si="49"/>
        <v>0.21801028427342239</v>
      </c>
      <c r="AG19" s="9">
        <f t="shared" si="49"/>
        <v>0.21178167296172035</v>
      </c>
    </row>
    <row r="20" spans="1:33" s="9" customFormat="1" x14ac:dyDescent="0.2">
      <c r="U20" s="9" t="s">
        <v>37</v>
      </c>
      <c r="V20" s="11">
        <f>+V18-V19</f>
        <v>2207913.2745844992</v>
      </c>
    </row>
    <row r="21" spans="1:33" s="9" customFormat="1" x14ac:dyDescent="0.2">
      <c r="B21" s="9">
        <f t="shared" ref="B21:J21" si="50">+B5/B3</f>
        <v>0.78482872294682526</v>
      </c>
      <c r="C21" s="9">
        <f t="shared" si="50"/>
        <v>0.81985982929706469</v>
      </c>
      <c r="D21" s="9">
        <f t="shared" si="50"/>
        <v>0.79375045103557773</v>
      </c>
      <c r="E21" s="9">
        <f t="shared" si="50"/>
        <v>0.74083631276231932</v>
      </c>
      <c r="F21" s="9">
        <f t="shared" si="50"/>
        <v>0.7867690696456624</v>
      </c>
      <c r="G21" s="9">
        <f t="shared" si="50"/>
        <v>0.81421294415450485</v>
      </c>
      <c r="H21" s="9">
        <f t="shared" si="50"/>
        <v>0.81813389562467054</v>
      </c>
      <c r="I21" s="9">
        <f t="shared" si="50"/>
        <v>0.80815736331679588</v>
      </c>
      <c r="J21" s="9">
        <f t="shared" si="50"/>
        <v>0.81785763269784661</v>
      </c>
      <c r="K21" s="9">
        <f>+K5/K3</f>
        <v>0.81295590079598679</v>
      </c>
      <c r="L21" s="9">
        <f>+L5/L3</f>
        <v>0.81830052477272164</v>
      </c>
      <c r="M21" s="9">
        <f>+M5/M3</f>
        <v>0.81731941717474421</v>
      </c>
      <c r="N21" s="9">
        <f>+N5/N3</f>
        <v>0.82105213404546962</v>
      </c>
      <c r="O21" s="9">
        <f>+O5/O3</f>
        <v>0.82130229817324696</v>
      </c>
      <c r="U21" s="9" t="s">
        <v>38</v>
      </c>
      <c r="V21" s="11">
        <f>+V20/main!L3</f>
        <v>876.85197560941197</v>
      </c>
      <c r="Y21" s="9">
        <f t="shared" ref="Y21:AF21" si="51">+Y5/Y3</f>
        <v>0.78347297378418479</v>
      </c>
      <c r="Z21" s="9">
        <f t="shared" si="51"/>
        <v>0.80757740861817184</v>
      </c>
      <c r="AA21" s="9">
        <f>+AA5/AA1</f>
        <v>0.82985547426137196</v>
      </c>
      <c r="AB21" s="9">
        <f t="shared" si="51"/>
        <v>0.82920499724489305</v>
      </c>
      <c r="AC21" s="9">
        <f t="shared" si="51"/>
        <v>0.84343791414115199</v>
      </c>
      <c r="AD21" s="9">
        <f t="shared" si="51"/>
        <v>0.85648475462938922</v>
      </c>
      <c r="AE21" s="9">
        <f t="shared" si="51"/>
        <v>0.86844435841027356</v>
      </c>
      <c r="AF21" s="9">
        <f t="shared" si="51"/>
        <v>0.87416416891417459</v>
      </c>
      <c r="AG21" s="9">
        <f t="shared" ref="AG21" si="52">+AG5/AG3</f>
        <v>0.87963529200486268</v>
      </c>
    </row>
    <row r="22" spans="1:33" s="9" customFormat="1" x14ac:dyDescent="0.2">
      <c r="A22" s="9" t="s">
        <v>42</v>
      </c>
      <c r="B22" s="9">
        <f t="shared" ref="B22:J22" si="53">+B6/B3</f>
        <v>0.27615737422961156</v>
      </c>
      <c r="C22" s="9">
        <f t="shared" si="53"/>
        <v>0.30150579418499757</v>
      </c>
      <c r="D22" s="9">
        <f t="shared" si="53"/>
        <v>0.33087969979071952</v>
      </c>
      <c r="E22" s="9">
        <f t="shared" si="53"/>
        <v>0.30377739779263174</v>
      </c>
      <c r="F22" s="9">
        <f t="shared" si="53"/>
        <v>0.32749170884971202</v>
      </c>
      <c r="G22" s="9">
        <f t="shared" si="53"/>
        <v>0.29200912528516515</v>
      </c>
      <c r="H22" s="9">
        <f t="shared" si="53"/>
        <v>0.27063199203420607</v>
      </c>
      <c r="I22" s="9">
        <f t="shared" si="53"/>
        <v>0.26219740220887039</v>
      </c>
      <c r="J22" s="9">
        <f t="shared" si="53"/>
        <v>0.27370731038266355</v>
      </c>
      <c r="K22" s="9">
        <f>+K6/K3</f>
        <v>0.26968851577896652</v>
      </c>
      <c r="L22" s="9">
        <f>+L6/L3</f>
        <v>0.27537017418512405</v>
      </c>
      <c r="M22" s="9">
        <f>+M6/M3</f>
        <v>0.25173090833936135</v>
      </c>
      <c r="N22" s="9">
        <f>+N6/N3</f>
        <v>0.28713900836602541</v>
      </c>
      <c r="O22" s="9">
        <f>+O6/O3</f>
        <v>0.27237141173499452</v>
      </c>
      <c r="U22" s="9" t="s">
        <v>39</v>
      </c>
      <c r="V22" s="11">
        <f>+main!L2</f>
        <v>777</v>
      </c>
      <c r="Y22" s="9">
        <f t="shared" ref="Y22:AF22" si="54">+Y6/Y3</f>
        <v>0.30304693462768739</v>
      </c>
      <c r="Z22" s="9">
        <f t="shared" si="54"/>
        <v>0.28526845612708579</v>
      </c>
      <c r="AA22" s="9">
        <f>+AA6/AA1</f>
        <v>0.27101355809074806</v>
      </c>
      <c r="AB22" s="9">
        <f t="shared" si="54"/>
        <v>0.23713686332940456</v>
      </c>
      <c r="AC22" s="9">
        <f t="shared" si="54"/>
        <v>0.20749475541322898</v>
      </c>
      <c r="AD22" s="9">
        <f t="shared" si="54"/>
        <v>0.18155791098657537</v>
      </c>
      <c r="AE22" s="9">
        <f t="shared" si="54"/>
        <v>0.15886317211325346</v>
      </c>
      <c r="AF22" s="9">
        <f t="shared" si="54"/>
        <v>0.14504898323384013</v>
      </c>
      <c r="AG22" s="9">
        <f t="shared" ref="AG22" si="55">+AG6/AG3</f>
        <v>0.13243602817002795</v>
      </c>
    </row>
    <row r="23" spans="1:33" s="9" customFormat="1" x14ac:dyDescent="0.2">
      <c r="A23" s="9" t="s">
        <v>43</v>
      </c>
      <c r="B23" s="9">
        <f t="shared" ref="B23:J23" si="56">+B7/B3</f>
        <v>0.11867564855955282</v>
      </c>
      <c r="C23" s="9">
        <f t="shared" si="56"/>
        <v>0.12473110818125044</v>
      </c>
      <c r="D23" s="9">
        <f t="shared" si="56"/>
        <v>0.13639315869235766</v>
      </c>
      <c r="E23" s="9">
        <f t="shared" si="56"/>
        <v>0.142204259288046</v>
      </c>
      <c r="F23" s="9">
        <f t="shared" si="56"/>
        <v>0.10626636411241054</v>
      </c>
      <c r="G23" s="9">
        <f t="shared" si="56"/>
        <v>9.8565580174380454E-2</v>
      </c>
      <c r="H23" s="9">
        <f t="shared" si="56"/>
        <v>8.4255842558425581E-2</v>
      </c>
      <c r="I23" s="9">
        <f t="shared" si="56"/>
        <v>8.0426815586746775E-2</v>
      </c>
      <c r="J23" s="9">
        <f t="shared" si="56"/>
        <v>7.0333287614867651E-2</v>
      </c>
      <c r="K23" s="9">
        <f>+K7/K3</f>
        <v>6.9642445803793099E-2</v>
      </c>
      <c r="L23" s="9">
        <f>+L7/L3</f>
        <v>6.9526226317475182E-2</v>
      </c>
      <c r="M23" s="9">
        <f>+M7/M3</f>
        <v>6.6962901725741444E-2</v>
      </c>
      <c r="N23" s="9">
        <f>+N7/N3</f>
        <v>6.5155740416883295E-2</v>
      </c>
      <c r="O23" s="9">
        <f>+O7/O3</f>
        <v>6.269467126862531E-2</v>
      </c>
      <c r="U23" s="9" t="s">
        <v>40</v>
      </c>
      <c r="V23" s="12">
        <f>+V21/V22-1</f>
        <v>0.12850962111893427</v>
      </c>
      <c r="Y23" s="9">
        <f t="shared" ref="Y23:AF23" si="57">+Y7/Y3</f>
        <v>0.13087326021147597</v>
      </c>
      <c r="Z23" s="9">
        <f t="shared" si="57"/>
        <v>9.1185387802907317E-2</v>
      </c>
      <c r="AA23" s="9">
        <f>+AA7/AA1</f>
        <v>7.0094612592444344E-2</v>
      </c>
      <c r="AB23" s="9">
        <f t="shared" si="57"/>
        <v>6.0164542475181396E-2</v>
      </c>
      <c r="AC23" s="9">
        <f t="shared" si="57"/>
        <v>5.1641232291197374E-2</v>
      </c>
      <c r="AD23" s="9">
        <f t="shared" si="57"/>
        <v>4.4325391049944408E-2</v>
      </c>
      <c r="AE23" s="9">
        <f t="shared" si="57"/>
        <v>3.8045960651202283E-2</v>
      </c>
      <c r="AF23" s="9">
        <f t="shared" si="57"/>
        <v>3.4075947365859442E-2</v>
      </c>
      <c r="AG23" s="9">
        <f t="shared" ref="AG23" si="58">+AG7/AG3</f>
        <v>3.0520196336378456E-2</v>
      </c>
    </row>
    <row r="24" spans="1:33" s="9" customFormat="1" x14ac:dyDescent="0.2">
      <c r="A24" s="9" t="s">
        <v>44</v>
      </c>
      <c r="B24" s="9">
        <f t="shared" ref="B24:J24" si="59">+B8/B3</f>
        <v>8.4563566002579901E-2</v>
      </c>
      <c r="C24" s="9">
        <f t="shared" si="59"/>
        <v>0.1036361113038651</v>
      </c>
      <c r="D24" s="9">
        <f t="shared" si="59"/>
        <v>0.12210435159125352</v>
      </c>
      <c r="E24" s="9">
        <f t="shared" si="59"/>
        <v>9.5911705269703093E-2</v>
      </c>
      <c r="F24" s="9">
        <f t="shared" si="59"/>
        <v>0.10071565718275441</v>
      </c>
      <c r="G24" s="9">
        <f t="shared" si="59"/>
        <v>0.13012906653332917</v>
      </c>
      <c r="H24" s="9">
        <f t="shared" si="59"/>
        <v>6.062203479177649E-2</v>
      </c>
      <c r="I24" s="9">
        <f t="shared" si="59"/>
        <v>5.7066640073795215E-2</v>
      </c>
      <c r="J24" s="9">
        <f t="shared" si="59"/>
        <v>9.4774379371828282E-2</v>
      </c>
      <c r="K24" s="9">
        <f>+K8/K3</f>
        <v>9.3624427324614165E-2</v>
      </c>
      <c r="L24" s="9">
        <f>+L8/L3</f>
        <v>4.5948409667643943E-2</v>
      </c>
      <c r="M24" s="9">
        <f>+M8/M3</f>
        <v>1.5728014880644826E-2</v>
      </c>
      <c r="N24" s="9">
        <f>+N8/N3</f>
        <v>5.3882875643994896E-2</v>
      </c>
      <c r="O24" s="9">
        <f>+O8/O3</f>
        <v>5.6044279821533802E-2</v>
      </c>
      <c r="Y24" s="9">
        <f t="shared" ref="Y24:AF24" si="60">+Y8/Y3</f>
        <v>0.10133008601394404</v>
      </c>
      <c r="Z24" s="9">
        <f t="shared" si="60"/>
        <v>8.4565718563983955E-2</v>
      </c>
      <c r="AA24" s="9">
        <f>+AA8/AA1</f>
        <v>6.0161402312312984E-2</v>
      </c>
      <c r="AB24" s="9">
        <f t="shared" si="60"/>
        <v>5.0134501926927491E-2</v>
      </c>
      <c r="AC24" s="9">
        <f t="shared" si="60"/>
        <v>4.1778751605772914E-2</v>
      </c>
      <c r="AD24" s="9">
        <f t="shared" si="60"/>
        <v>3.4815626338144091E-2</v>
      </c>
      <c r="AE24" s="9">
        <f t="shared" si="60"/>
        <v>2.901302194845341E-2</v>
      </c>
      <c r="AF24" s="9">
        <f t="shared" si="60"/>
        <v>2.5228714737785575E-2</v>
      </c>
      <c r="AG24" s="9">
        <f t="shared" ref="AG24" si="61">+AG8/AG3</f>
        <v>2.1938012815465719E-2</v>
      </c>
    </row>
    <row r="25" spans="1:33" s="9" customFormat="1" x14ac:dyDescent="0.2">
      <c r="A25" s="9" t="s">
        <v>41</v>
      </c>
      <c r="B25" s="9">
        <f t="shared" ref="B25:J25" si="62">+B10/B3</f>
        <v>0.30543213415508097</v>
      </c>
      <c r="C25" s="9">
        <f t="shared" si="62"/>
        <v>0.28998681562695161</v>
      </c>
      <c r="D25" s="9">
        <f t="shared" si="62"/>
        <v>0.20437324096124701</v>
      </c>
      <c r="E25" s="9">
        <f t="shared" si="62"/>
        <v>0.19894295041193844</v>
      </c>
      <c r="F25" s="9">
        <f t="shared" si="62"/>
        <v>0.25229533950078548</v>
      </c>
      <c r="G25" s="9">
        <f t="shared" si="62"/>
        <v>0.29350917216163003</v>
      </c>
      <c r="H25" s="9">
        <f t="shared" si="62"/>
        <v>0.40262402624026239</v>
      </c>
      <c r="I25" s="9">
        <f t="shared" si="62"/>
        <v>0.4084665054473835</v>
      </c>
      <c r="J25" s="9">
        <f t="shared" si="62"/>
        <v>0.37904265532848719</v>
      </c>
      <c r="K25" s="9">
        <f>+K10/K3</f>
        <v>0.38000051188861306</v>
      </c>
      <c r="L25" s="9">
        <f>+L10/L3</f>
        <v>0.4274557146024785</v>
      </c>
      <c r="M25" s="9">
        <f>+M10/M3</f>
        <v>0.48289759222899659</v>
      </c>
      <c r="N25" s="9">
        <f>+N10/N3</f>
        <v>0.41487450961856598</v>
      </c>
      <c r="O25" s="9">
        <f>+O10/O3</f>
        <v>0.43019193534809325</v>
      </c>
      <c r="Y25" s="9">
        <f t="shared" ref="Y25:AF25" si="63">+Y10/Y3</f>
        <v>0.24822269293107735</v>
      </c>
      <c r="Z25" s="9">
        <f t="shared" si="63"/>
        <v>0.34655784612419477</v>
      </c>
      <c r="AA25" s="9">
        <f>+AA10/AA1</f>
        <v>0.4285859012658666</v>
      </c>
      <c r="AB25" s="9">
        <f t="shared" si="63"/>
        <v>0.48176908951337966</v>
      </c>
      <c r="AC25" s="9">
        <f t="shared" si="63"/>
        <v>0.54252317483095269</v>
      </c>
      <c r="AD25" s="9">
        <f t="shared" si="63"/>
        <v>0.59578582625472543</v>
      </c>
      <c r="AE25" s="9">
        <f t="shared" si="63"/>
        <v>0.64252220369736446</v>
      </c>
      <c r="AF25" s="9">
        <f t="shared" si="63"/>
        <v>0.66981052357668946</v>
      </c>
      <c r="AG25" s="9">
        <f t="shared" ref="AG25" si="64">+AG10/AG3</f>
        <v>0.69474105468299052</v>
      </c>
    </row>
    <row r="26" spans="1:33" s="9" customFormat="1" x14ac:dyDescent="0.2">
      <c r="A26" s="9" t="s">
        <v>45</v>
      </c>
      <c r="B26" s="9">
        <f t="shared" ref="B26:J26" si="65">+B13/B12</f>
        <v>0.1619892231701841</v>
      </c>
      <c r="C26" s="9">
        <f t="shared" si="65"/>
        <v>0.18311751771316884</v>
      </c>
      <c r="D26" s="9">
        <f t="shared" si="65"/>
        <v>0.21180057388809181</v>
      </c>
      <c r="E26" s="9">
        <f t="shared" si="65"/>
        <v>0.24345422019840623</v>
      </c>
      <c r="F26" s="9">
        <f t="shared" si="65"/>
        <v>0.21869440262761736</v>
      </c>
      <c r="G26" s="9">
        <f t="shared" si="65"/>
        <v>0.16194985472936618</v>
      </c>
      <c r="H26" s="9">
        <f t="shared" si="65"/>
        <v>0.1738231098430813</v>
      </c>
      <c r="I26" s="9">
        <f t="shared" si="65"/>
        <v>0.16605188005711566</v>
      </c>
      <c r="J26" s="9">
        <f t="shared" si="65"/>
        <v>0.12789959811041388</v>
      </c>
      <c r="K26" s="9">
        <f>+K13/K12</f>
        <v>0.10863233152389778</v>
      </c>
      <c r="L26" s="9">
        <f>+L13/L12</f>
        <v>0.11973964762652901</v>
      </c>
      <c r="M26" s="9">
        <f>+M13/M12</f>
        <v>0.11527193988027003</v>
      </c>
      <c r="N26" s="9">
        <f>+N13/N12</f>
        <v>9.4549015341094556E-2</v>
      </c>
      <c r="O26" s="9">
        <f>+O13/O12</f>
        <v>0.10699327943897925</v>
      </c>
      <c r="Y26" s="9">
        <f t="shared" ref="Y26:AF26" si="66">+Y13/Y12</f>
        <v>0.19501023630243935</v>
      </c>
      <c r="Z26" s="9">
        <f t="shared" si="66"/>
        <v>0.17471855443517942</v>
      </c>
      <c r="AA26" s="9">
        <f t="shared" si="66"/>
        <v>0.11751386844786596</v>
      </c>
      <c r="AB26" s="9">
        <f t="shared" si="66"/>
        <v>0.19999999999999998</v>
      </c>
      <c r="AC26" s="9">
        <f t="shared" si="66"/>
        <v>0.2</v>
      </c>
      <c r="AD26" s="9">
        <f t="shared" si="66"/>
        <v>0.2</v>
      </c>
      <c r="AE26" s="9">
        <f t="shared" si="66"/>
        <v>0.2</v>
      </c>
      <c r="AF26" s="9">
        <f t="shared" si="66"/>
        <v>0.2</v>
      </c>
      <c r="AG26" s="9">
        <f t="shared" ref="AG26" si="67">+AG13/AG12</f>
        <v>0.2</v>
      </c>
    </row>
    <row r="27" spans="1:33" s="8" customFormat="1" ht="15" x14ac:dyDescent="0.25">
      <c r="A27" s="8" t="s">
        <v>46</v>
      </c>
      <c r="B27" s="8">
        <f t="shared" ref="B27:K27" si="68">+B14/B3</f>
        <v>0.26748602551239786</v>
      </c>
      <c r="C27" s="8">
        <f t="shared" si="68"/>
        <v>0.23201026993269031</v>
      </c>
      <c r="D27" s="8">
        <f t="shared" si="68"/>
        <v>0.15858410911452694</v>
      </c>
      <c r="E27" s="8">
        <f t="shared" si="68"/>
        <v>0.1446292554018343</v>
      </c>
      <c r="F27" s="8">
        <f t="shared" si="68"/>
        <v>0.19930179787048349</v>
      </c>
      <c r="G27" s="8">
        <f t="shared" si="68"/>
        <v>0.24338260570642833</v>
      </c>
      <c r="H27" s="8">
        <f t="shared" si="68"/>
        <v>0.33921982076963625</v>
      </c>
      <c r="I27" s="8">
        <f t="shared" si="68"/>
        <v>0.34945526164892421</v>
      </c>
      <c r="J27" s="8">
        <f t="shared" si="68"/>
        <v>0.33929502125908656</v>
      </c>
      <c r="K27" s="8">
        <f t="shared" si="68"/>
        <v>0.34462900872770086</v>
      </c>
      <c r="L27" s="8">
        <f t="shared" ref="L27:M27" si="69">+L14/L3</f>
        <v>0.38650865998176848</v>
      </c>
      <c r="M27" s="8">
        <f t="shared" si="69"/>
        <v>0.43067066239537044</v>
      </c>
      <c r="N27" s="8">
        <f t="shared" ref="N27:O27" si="70">+N14/N3</f>
        <v>0.39334499220116276</v>
      </c>
      <c r="O27" s="8">
        <f t="shared" si="70"/>
        <v>0.38591211381429413</v>
      </c>
      <c r="Y27" s="8">
        <f t="shared" ref="Y27:AF27" si="71">+Y14/Y3</f>
        <v>0.19894690804311846</v>
      </c>
      <c r="Z27" s="8">
        <f t="shared" si="71"/>
        <v>0.29170576941609033</v>
      </c>
      <c r="AA27" s="8">
        <f>+AA14/AA1</f>
        <v>0.3852207668339499</v>
      </c>
      <c r="AB27" s="8">
        <f t="shared" si="71"/>
        <v>0.38925100629350401</v>
      </c>
      <c r="AC27" s="8">
        <f t="shared" si="71"/>
        <v>0.44791556229026103</v>
      </c>
      <c r="AD27" s="8">
        <f t="shared" si="71"/>
        <v>0.49902204097762676</v>
      </c>
      <c r="AE27" s="8">
        <f t="shared" si="71"/>
        <v>0.54512101188860418</v>
      </c>
      <c r="AF27" s="8">
        <f t="shared" si="71"/>
        <v>0.57735912926422128</v>
      </c>
      <c r="AG27" s="8">
        <f t="shared" ref="AG27" si="72">+AG14/AG3</f>
        <v>0.60837670570393065</v>
      </c>
    </row>
    <row r="30" spans="1:33" x14ac:dyDescent="0.2">
      <c r="AC30" s="2" t="s">
        <v>9</v>
      </c>
    </row>
    <row r="31" spans="1:33" x14ac:dyDescent="0.2">
      <c r="Y31" s="2" t="s">
        <v>9</v>
      </c>
    </row>
    <row r="33" spans="1:44" s="3" customFormat="1" ht="15" x14ac:dyDescent="0.25">
      <c r="A33" s="3" t="s">
        <v>64</v>
      </c>
      <c r="B33" s="3">
        <f t="shared" ref="B33:M33" si="73">+B36-B46</f>
        <v>0</v>
      </c>
      <c r="C33" s="3">
        <f t="shared" si="73"/>
        <v>0</v>
      </c>
      <c r="D33" s="3">
        <f t="shared" si="73"/>
        <v>0</v>
      </c>
      <c r="E33" s="3">
        <f t="shared" si="73"/>
        <v>0</v>
      </c>
      <c r="F33" s="3">
        <f t="shared" si="73"/>
        <v>0</v>
      </c>
      <c r="G33" s="3">
        <f t="shared" si="73"/>
        <v>0</v>
      </c>
      <c r="H33" s="3">
        <f t="shared" si="73"/>
        <v>0</v>
      </c>
      <c r="I33" s="3">
        <f t="shared" si="73"/>
        <v>0</v>
      </c>
      <c r="J33" s="3">
        <f t="shared" si="73"/>
        <v>0</v>
      </c>
      <c r="K33" s="3">
        <f t="shared" si="73"/>
        <v>0</v>
      </c>
      <c r="M33" s="3">
        <f t="shared" ref="M33:N33" si="74">+M36-M46</f>
        <v>48989</v>
      </c>
      <c r="N33" s="3">
        <f t="shared" si="74"/>
        <v>41401</v>
      </c>
      <c r="O33" s="3">
        <f>+O36-O46</f>
        <v>18239</v>
      </c>
      <c r="X33" s="3" t="s">
        <v>9</v>
      </c>
      <c r="Z33" s="3">
        <f>+Z36-Z46</f>
        <v>18628</v>
      </c>
      <c r="AA33" s="3">
        <f>+Z33+AA14</f>
        <v>80988</v>
      </c>
      <c r="AB33" s="3">
        <f t="shared" ref="AB33:AR33" si="75">+AA33+AB14</f>
        <v>156602.90399999998</v>
      </c>
      <c r="AC33" s="3">
        <f t="shared" si="75"/>
        <v>261016.02055999992</v>
      </c>
      <c r="AD33" s="3">
        <f t="shared" si="75"/>
        <v>400607.81218479987</v>
      </c>
      <c r="AE33" s="3">
        <f t="shared" si="75"/>
        <v>583592.31976954383</v>
      </c>
      <c r="AF33" s="3">
        <f t="shared" si="75"/>
        <v>806469.33187047008</v>
      </c>
      <c r="AG33" s="3">
        <f t="shared" si="75"/>
        <v>1076547.6104588402</v>
      </c>
      <c r="AH33" s="3">
        <f t="shared" si="75"/>
        <v>1341224.3234754428</v>
      </c>
      <c r="AI33" s="3">
        <f t="shared" si="75"/>
        <v>1600607.5022317134</v>
      </c>
      <c r="AJ33" s="3">
        <f t="shared" si="75"/>
        <v>1854803.0174128585</v>
      </c>
      <c r="AK33" s="3">
        <f t="shared" si="75"/>
        <v>2103914.6222903808</v>
      </c>
      <c r="AL33" s="3">
        <f t="shared" si="75"/>
        <v>2348043.9950703527</v>
      </c>
      <c r="AM33" s="3">
        <f t="shared" si="75"/>
        <v>2587290.780394725</v>
      </c>
      <c r="AN33" s="3">
        <f t="shared" si="75"/>
        <v>2821752.63001261</v>
      </c>
      <c r="AO33" s="3">
        <f t="shared" si="75"/>
        <v>3051525.2426381372</v>
      </c>
      <c r="AP33" s="3">
        <f t="shared" si="75"/>
        <v>3276702.4030111539</v>
      </c>
      <c r="AQ33" s="3">
        <f t="shared" si="75"/>
        <v>3497376.0201767101</v>
      </c>
      <c r="AR33" s="3">
        <f t="shared" si="75"/>
        <v>3713636.1649989551</v>
      </c>
    </row>
    <row r="36" spans="1:44" x14ac:dyDescent="0.2">
      <c r="A36" s="2" t="s">
        <v>48</v>
      </c>
      <c r="L36" s="7">
        <f>43852+27048</f>
        <v>70900</v>
      </c>
      <c r="M36" s="2">
        <f>43889+33926</f>
        <v>77815</v>
      </c>
      <c r="N36" s="2">
        <f>28750+41480</f>
        <v>70230</v>
      </c>
      <c r="O36" s="2">
        <f>12005+35066</f>
        <v>47071</v>
      </c>
      <c r="Z36" s="2">
        <v>41862</v>
      </c>
    </row>
    <row r="37" spans="1:44" ht="15" x14ac:dyDescent="0.25">
      <c r="A37" s="2" t="s">
        <v>50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7">
        <v>14700</v>
      </c>
      <c r="M37" s="7">
        <v>16994</v>
      </c>
      <c r="N37" s="7">
        <v>14514</v>
      </c>
      <c r="O37" s="7">
        <v>16561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2">
        <v>16169</v>
      </c>
    </row>
    <row r="38" spans="1:44" x14ac:dyDescent="0.2">
      <c r="A38" s="2" t="s">
        <v>51</v>
      </c>
      <c r="L38" s="2">
        <v>5467</v>
      </c>
      <c r="M38" s="2">
        <v>5236</v>
      </c>
      <c r="N38" s="2">
        <v>5483</v>
      </c>
      <c r="O38" s="2">
        <v>9981</v>
      </c>
      <c r="Z38" s="2">
        <v>3793</v>
      </c>
    </row>
    <row r="39" spans="1:44" x14ac:dyDescent="0.2">
      <c r="A39" s="2" t="s">
        <v>52</v>
      </c>
      <c r="L39" s="2">
        <v>6071</v>
      </c>
      <c r="M39" s="2">
        <v>6070</v>
      </c>
      <c r="N39" s="2">
        <v>6168</v>
      </c>
      <c r="O39" s="2">
        <v>21988</v>
      </c>
      <c r="Z39" s="2">
        <v>6141</v>
      </c>
    </row>
    <row r="40" spans="1:44" x14ac:dyDescent="0.2">
      <c r="A40" s="2" t="s">
        <v>53</v>
      </c>
      <c r="L40" s="2">
        <v>112162</v>
      </c>
      <c r="M40" s="2">
        <v>121346</v>
      </c>
      <c r="N40" s="2">
        <v>133567</v>
      </c>
      <c r="O40" s="2">
        <v>147039</v>
      </c>
      <c r="Z40" s="2">
        <v>96587</v>
      </c>
    </row>
    <row r="41" spans="1:44" x14ac:dyDescent="0.2">
      <c r="A41" s="2" t="s">
        <v>54</v>
      </c>
      <c r="L41" s="2">
        <v>14812</v>
      </c>
      <c r="M41" s="2">
        <v>14922</v>
      </c>
      <c r="N41" s="2">
        <v>15505</v>
      </c>
      <c r="O41" s="2">
        <v>15662</v>
      </c>
      <c r="Z41" s="2">
        <v>13294</v>
      </c>
    </row>
    <row r="42" spans="1:44" x14ac:dyDescent="0.2">
      <c r="A42" s="2" t="s">
        <v>55</v>
      </c>
      <c r="L42" s="2">
        <v>20654</v>
      </c>
      <c r="M42" s="2">
        <v>20654</v>
      </c>
      <c r="N42" s="2">
        <v>20654</v>
      </c>
      <c r="O42" s="2">
        <v>20654</v>
      </c>
      <c r="Z42" s="2">
        <f>788+20654</f>
        <v>21442</v>
      </c>
    </row>
    <row r="43" spans="1:44" x14ac:dyDescent="0.2">
      <c r="A43" s="2" t="s">
        <v>56</v>
      </c>
      <c r="L43" s="2">
        <v>11642</v>
      </c>
      <c r="M43" s="2">
        <v>13017</v>
      </c>
      <c r="N43" s="2">
        <v>14092</v>
      </c>
      <c r="O43" s="2">
        <v>15788</v>
      </c>
      <c r="Z43" s="2">
        <v>6794</v>
      </c>
    </row>
    <row r="44" spans="1:44" s="3" customFormat="1" ht="15" x14ac:dyDescent="0.25">
      <c r="A44" s="3" t="s">
        <v>49</v>
      </c>
      <c r="L44" s="3">
        <f>+SUM(L36:L43)</f>
        <v>256408</v>
      </c>
      <c r="M44" s="3">
        <f>+SUM(M36:M43)</f>
        <v>276054</v>
      </c>
      <c r="N44" s="3">
        <f>+SUM(N36:N43)</f>
        <v>280213</v>
      </c>
      <c r="O44" s="3">
        <f>+SUM(O36:O43)</f>
        <v>294744</v>
      </c>
      <c r="Y44" s="3" t="s">
        <v>9</v>
      </c>
      <c r="Z44" s="3">
        <f>SUM(Z36:Z43)</f>
        <v>206082</v>
      </c>
    </row>
    <row r="46" spans="1:44" ht="15" x14ac:dyDescent="0.25">
      <c r="A46" s="2" t="s">
        <v>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>
        <v>28823</v>
      </c>
      <c r="M46" s="7">
        <v>28826</v>
      </c>
      <c r="N46" s="7">
        <v>28829</v>
      </c>
      <c r="O46" s="7">
        <v>28832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2">
        <f>4849+18385</f>
        <v>23234</v>
      </c>
    </row>
    <row r="47" spans="1:44" x14ac:dyDescent="0.2">
      <c r="A47" s="2" t="s">
        <v>57</v>
      </c>
      <c r="L47" s="7">
        <v>7656</v>
      </c>
      <c r="M47" s="7">
        <v>7687</v>
      </c>
      <c r="N47" s="7">
        <v>8512</v>
      </c>
      <c r="O47" s="2">
        <v>10271</v>
      </c>
      <c r="Z47" s="2">
        <v>863</v>
      </c>
    </row>
    <row r="48" spans="1:44" s="3" customFormat="1" ht="15" x14ac:dyDescent="0.25">
      <c r="A48" s="2" t="s">
        <v>58</v>
      </c>
      <c r="L48" s="7">
        <v>2016</v>
      </c>
      <c r="M48" s="7">
        <v>1942</v>
      </c>
      <c r="N48" s="7">
        <v>1976</v>
      </c>
      <c r="O48" s="7">
        <v>1977</v>
      </c>
      <c r="Z48" s="2">
        <v>24625</v>
      </c>
    </row>
    <row r="49" spans="1:26" x14ac:dyDescent="0.2">
      <c r="A49" s="2" t="s">
        <v>59</v>
      </c>
      <c r="L49" s="2">
        <v>23658</v>
      </c>
      <c r="M49" s="2">
        <v>23967</v>
      </c>
      <c r="N49" s="2">
        <v>23402</v>
      </c>
      <c r="O49" s="7">
        <v>25057</v>
      </c>
      <c r="Z49" s="2">
        <v>17226</v>
      </c>
    </row>
    <row r="50" spans="1:26" x14ac:dyDescent="0.2">
      <c r="A50" s="2" t="s">
        <v>60</v>
      </c>
      <c r="L50" s="7">
        <v>18208</v>
      </c>
      <c r="M50" s="7">
        <v>18292</v>
      </c>
      <c r="N50" s="7">
        <v>18714</v>
      </c>
      <c r="O50" s="7">
        <v>18751</v>
      </c>
      <c r="Z50" s="2">
        <v>884</v>
      </c>
    </row>
    <row r="51" spans="1:26" x14ac:dyDescent="0.2">
      <c r="A51" s="2" t="s">
        <v>27</v>
      </c>
      <c r="L51" s="7">
        <v>9171</v>
      </c>
      <c r="M51" s="7">
        <v>9987</v>
      </c>
      <c r="N51" s="7">
        <v>10991</v>
      </c>
      <c r="O51" s="7">
        <v>12046</v>
      </c>
    </row>
    <row r="52" spans="1:26" x14ac:dyDescent="0.2">
      <c r="A52" s="2" t="s">
        <v>56</v>
      </c>
      <c r="L52" s="7">
        <v>2347</v>
      </c>
      <c r="M52" s="7">
        <v>2716</v>
      </c>
      <c r="N52" s="7">
        <v>2760</v>
      </c>
      <c r="O52" s="7">
        <v>2740</v>
      </c>
      <c r="Z52" s="2">
        <v>8884</v>
      </c>
    </row>
    <row r="53" spans="1:26" s="3" customFormat="1" ht="15" x14ac:dyDescent="0.25">
      <c r="A53" s="3" t="s">
        <v>61</v>
      </c>
      <c r="L53" s="3">
        <f>+SUM(L46:L52)</f>
        <v>91879</v>
      </c>
      <c r="M53" s="3">
        <f>+SUM(M46:M52)</f>
        <v>93417</v>
      </c>
      <c r="N53" s="3">
        <f>+SUM(N46:N52)</f>
        <v>95184</v>
      </c>
      <c r="O53" s="3">
        <f>+SUM(O46:O52)</f>
        <v>99674</v>
      </c>
      <c r="Z53" s="3">
        <f>SUM(Z46:Z52)</f>
        <v>75716</v>
      </c>
    </row>
    <row r="55" spans="1:26" s="3" customFormat="1" ht="15" x14ac:dyDescent="0.25">
      <c r="A55" s="3" t="s">
        <v>62</v>
      </c>
      <c r="L55" s="3">
        <f>+L44-L53</f>
        <v>164529</v>
      </c>
      <c r="M55" s="3">
        <f>+M44-M53</f>
        <v>182637</v>
      </c>
      <c r="N55" s="3">
        <f>+N44-N53</f>
        <v>185029</v>
      </c>
      <c r="O55" s="3">
        <f>+O44-O53</f>
        <v>195070</v>
      </c>
      <c r="Z55" s="3">
        <f>+Z44-Z53</f>
        <v>130366</v>
      </c>
    </row>
    <row r="56" spans="1:26" s="3" customFormat="1" ht="15" x14ac:dyDescent="0.25">
      <c r="A56" s="3" t="s">
        <v>63</v>
      </c>
      <c r="L56" s="3">
        <f>+L53+L55</f>
        <v>256408</v>
      </c>
      <c r="M56" s="3">
        <f>+M53+M55</f>
        <v>276054</v>
      </c>
      <c r="N56" s="3">
        <f>+N53+N55</f>
        <v>280213</v>
      </c>
      <c r="O56" s="3">
        <f>+O53+O55</f>
        <v>294744</v>
      </c>
      <c r="Z56" s="3">
        <f>+Z53+Z55</f>
        <v>206082</v>
      </c>
    </row>
    <row r="59" spans="1:26" x14ac:dyDescent="0.2">
      <c r="A59" s="2" t="s">
        <v>65</v>
      </c>
      <c r="L59" s="5">
        <f>+L14/L44</f>
        <v>6.1183738416898066E-2</v>
      </c>
      <c r="M59" s="5">
        <f>+M14/M44</f>
        <v>7.5485231150427087E-2</v>
      </c>
      <c r="N59" s="5">
        <f>+N14/N44</f>
        <v>5.9397672484859734E-2</v>
      </c>
      <c r="O59" s="5">
        <f>+O14/O44</f>
        <v>6.2213310533887033E-2</v>
      </c>
      <c r="Z59" s="9">
        <f>+Z14/Z44</f>
        <v>0.19095020428761367</v>
      </c>
    </row>
    <row r="60" spans="1:26" x14ac:dyDescent="0.2">
      <c r="A60" s="2" t="s">
        <v>66</v>
      </c>
      <c r="L60" s="5">
        <f>+L14/L55</f>
        <v>9.5350971561244516E-2</v>
      </c>
      <c r="M60" s="5">
        <f>+M14/M55</f>
        <v>0.11409517239113652</v>
      </c>
      <c r="N60" s="5">
        <f>+N14/N55</f>
        <v>8.9953466753860206E-2</v>
      </c>
      <c r="O60" s="5">
        <f>+O14/O55</f>
        <v>9.4002153073255754E-2</v>
      </c>
      <c r="Z60" s="9">
        <f>+Z14/(Z44-Z53)</f>
        <v>0.30185324394397312</v>
      </c>
    </row>
    <row r="62" spans="1:26" x14ac:dyDescent="0.2">
      <c r="A62" s="2" t="s">
        <v>74</v>
      </c>
      <c r="B62" s="2">
        <f t="shared" ref="B62:O62" si="76">+B14</f>
        <v>7465</v>
      </c>
      <c r="C62" s="2">
        <f t="shared" si="76"/>
        <v>6687</v>
      </c>
      <c r="D62" s="2">
        <f t="shared" si="76"/>
        <v>4395</v>
      </c>
      <c r="E62" s="2">
        <f t="shared" si="76"/>
        <v>4652</v>
      </c>
      <c r="F62" s="2">
        <f t="shared" si="76"/>
        <v>5709</v>
      </c>
      <c r="G62" s="2">
        <f t="shared" si="76"/>
        <v>7788</v>
      </c>
      <c r="H62" s="2">
        <f t="shared" si="76"/>
        <v>11583</v>
      </c>
      <c r="I62" s="2">
        <f t="shared" si="76"/>
        <v>14017</v>
      </c>
      <c r="J62" s="2">
        <f t="shared" si="76"/>
        <v>12369</v>
      </c>
      <c r="K62" s="2">
        <f t="shared" si="76"/>
        <v>13465</v>
      </c>
      <c r="L62" s="2">
        <f t="shared" si="76"/>
        <v>15688</v>
      </c>
      <c r="M62" s="2">
        <f t="shared" si="76"/>
        <v>20838</v>
      </c>
      <c r="N62" s="2">
        <f t="shared" si="76"/>
        <v>16644</v>
      </c>
      <c r="O62" s="2">
        <f>+O14</f>
        <v>18337</v>
      </c>
    </row>
    <row r="63" spans="1:26" x14ac:dyDescent="0.2">
      <c r="A63" s="2" t="s">
        <v>73</v>
      </c>
      <c r="L63" s="2">
        <v>15688</v>
      </c>
      <c r="N63" s="2">
        <v>16644</v>
      </c>
      <c r="O63" s="2">
        <v>18337</v>
      </c>
    </row>
    <row r="64" spans="1:26" x14ac:dyDescent="0.2">
      <c r="A64" s="2" t="s">
        <v>75</v>
      </c>
      <c r="N64" s="2">
        <v>3900</v>
      </c>
      <c r="O64" s="2">
        <v>4342</v>
      </c>
    </row>
    <row r="65" spans="1:15" x14ac:dyDescent="0.2">
      <c r="A65" s="2" t="s">
        <v>76</v>
      </c>
      <c r="N65" s="2">
        <v>4147</v>
      </c>
      <c r="O65" s="2">
        <v>4834</v>
      </c>
    </row>
    <row r="66" spans="1:15" x14ac:dyDescent="0.2">
      <c r="A66" s="2" t="s">
        <v>77</v>
      </c>
      <c r="N66" s="2">
        <v>-993</v>
      </c>
      <c r="O66" s="2">
        <v>-1170</v>
      </c>
    </row>
    <row r="67" spans="1:15" x14ac:dyDescent="0.2">
      <c r="A67" s="2" t="s">
        <v>78</v>
      </c>
      <c r="N67" s="2">
        <v>-231</v>
      </c>
      <c r="O67" s="2">
        <v>511</v>
      </c>
    </row>
    <row r="68" spans="1:15" x14ac:dyDescent="0.2">
      <c r="A68" s="2" t="s">
        <v>56</v>
      </c>
      <c r="N68" s="2">
        <v>2804</v>
      </c>
      <c r="O68" s="2">
        <v>-336</v>
      </c>
    </row>
    <row r="69" spans="1:15" x14ac:dyDescent="0.2">
      <c r="A69" s="2" t="s">
        <v>79</v>
      </c>
      <c r="N69" s="2">
        <v>360</v>
      </c>
      <c r="O69" s="2">
        <v>-1338</v>
      </c>
    </row>
    <row r="70" spans="1:15" x14ac:dyDescent="0.2">
      <c r="A70" s="2" t="s">
        <v>80</v>
      </c>
      <c r="N70" s="2">
        <v>0</v>
      </c>
      <c r="O70" s="2">
        <v>326</v>
      </c>
    </row>
    <row r="71" spans="1:15" x14ac:dyDescent="0.2">
      <c r="A71" s="2" t="s">
        <v>49</v>
      </c>
      <c r="N71" s="2">
        <v>-52</v>
      </c>
      <c r="O71" s="2">
        <v>-190</v>
      </c>
    </row>
    <row r="72" spans="1:15" x14ac:dyDescent="0.2">
      <c r="A72" s="2" t="s">
        <v>81</v>
      </c>
      <c r="N72" s="2">
        <v>-1034</v>
      </c>
      <c r="O72" s="2">
        <v>460</v>
      </c>
    </row>
    <row r="73" spans="1:15" x14ac:dyDescent="0.2">
      <c r="A73" s="2" t="s">
        <v>72</v>
      </c>
      <c r="N73" s="2">
        <v>-2231</v>
      </c>
      <c r="O73" s="2">
        <v>-1107</v>
      </c>
    </row>
    <row r="74" spans="1:15" x14ac:dyDescent="0.2">
      <c r="A74" s="2" t="s">
        <v>56</v>
      </c>
      <c r="N74" s="2">
        <v>712</v>
      </c>
      <c r="O74" s="2">
        <v>892</v>
      </c>
    </row>
    <row r="75" spans="1:15" s="3" customFormat="1" ht="15" x14ac:dyDescent="0.25">
      <c r="A75" s="3" t="s">
        <v>82</v>
      </c>
      <c r="L75" s="3">
        <v>24724</v>
      </c>
      <c r="M75" s="3">
        <v>27988</v>
      </c>
      <c r="N75" s="3">
        <f>+SUM(N63:N74)</f>
        <v>24026</v>
      </c>
      <c r="O75" s="3">
        <f>+SUM(O63:O74)</f>
        <v>25561</v>
      </c>
    </row>
    <row r="77" spans="1:15" x14ac:dyDescent="0.2">
      <c r="A77" s="2" t="s">
        <v>83</v>
      </c>
      <c r="N77" s="2">
        <v>-12941</v>
      </c>
      <c r="O77" s="2">
        <v>-16538</v>
      </c>
    </row>
    <row r="78" spans="1:15" x14ac:dyDescent="0.2">
      <c r="A78" s="2" t="s">
        <v>84</v>
      </c>
      <c r="N78" s="2">
        <v>-11763</v>
      </c>
      <c r="O78" s="2">
        <v>-7746</v>
      </c>
    </row>
    <row r="79" spans="1:15" x14ac:dyDescent="0.2">
      <c r="A79" s="2" t="s">
        <v>85</v>
      </c>
      <c r="N79" s="2">
        <v>4784</v>
      </c>
      <c r="O79" s="2">
        <v>14273</v>
      </c>
    </row>
    <row r="80" spans="1:15" x14ac:dyDescent="0.2">
      <c r="A80" s="2" t="s">
        <v>86</v>
      </c>
      <c r="N80" s="2">
        <v>-90</v>
      </c>
      <c r="O80" s="2">
        <v>-15114</v>
      </c>
    </row>
    <row r="81" spans="1:15" x14ac:dyDescent="0.2">
      <c r="A81" s="2" t="s">
        <v>87</v>
      </c>
      <c r="N81" s="2" t="s">
        <v>9</v>
      </c>
      <c r="O81" s="2">
        <v>-775</v>
      </c>
    </row>
    <row r="82" spans="1:15" x14ac:dyDescent="0.2">
      <c r="A82" s="2" t="s">
        <v>88</v>
      </c>
      <c r="N82" s="2" t="s">
        <v>95</v>
      </c>
      <c r="O82" s="2">
        <v>-61</v>
      </c>
    </row>
    <row r="83" spans="1:15" x14ac:dyDescent="0.2">
      <c r="A83" s="2" t="s">
        <v>56</v>
      </c>
      <c r="N83" s="2" t="s">
        <v>9</v>
      </c>
      <c r="O83" s="2">
        <v>3</v>
      </c>
    </row>
    <row r="84" spans="1:15" s="3" customFormat="1" ht="15" x14ac:dyDescent="0.25">
      <c r="A84" s="3" t="s">
        <v>89</v>
      </c>
      <c r="L84" s="3">
        <v>-8620</v>
      </c>
      <c r="M84" s="3">
        <v>-21498</v>
      </c>
      <c r="N84" s="3">
        <f>+SUM(N77:N80)</f>
        <v>-20010</v>
      </c>
      <c r="O84" s="3">
        <f>+SUM(O77:O83)</f>
        <v>-25958</v>
      </c>
    </row>
    <row r="85" spans="1:15" x14ac:dyDescent="0.2">
      <c r="N85" s="2" t="s">
        <v>9</v>
      </c>
    </row>
    <row r="86" spans="1:15" x14ac:dyDescent="0.2">
      <c r="A86" s="2" t="s">
        <v>27</v>
      </c>
      <c r="N86" s="2">
        <v>-4883</v>
      </c>
      <c r="O86" s="2">
        <v>-4110</v>
      </c>
    </row>
    <row r="87" spans="1:15" x14ac:dyDescent="0.2">
      <c r="A87" s="2" t="s">
        <v>90</v>
      </c>
      <c r="N87" s="2">
        <v>-12754</v>
      </c>
      <c r="O87" s="2">
        <v>-10167</v>
      </c>
    </row>
    <row r="88" spans="1:15" x14ac:dyDescent="0.2">
      <c r="A88" s="2" t="s">
        <v>91</v>
      </c>
      <c r="N88" s="2">
        <v>-1329</v>
      </c>
      <c r="O88" s="2">
        <v>-1327</v>
      </c>
    </row>
    <row r="89" spans="1:15" x14ac:dyDescent="0.2">
      <c r="A89" s="2" t="s">
        <v>92</v>
      </c>
      <c r="N89" s="2">
        <v>-751</v>
      </c>
      <c r="O89" s="2">
        <v>-474</v>
      </c>
    </row>
    <row r="90" spans="1:15" x14ac:dyDescent="0.2">
      <c r="A90" s="2" t="s">
        <v>56</v>
      </c>
      <c r="N90" s="2">
        <v>222</v>
      </c>
      <c r="O90" s="2">
        <v>101</v>
      </c>
    </row>
    <row r="91" spans="1:15" s="3" customFormat="1" ht="15" x14ac:dyDescent="0.25">
      <c r="A91" s="3" t="s">
        <v>93</v>
      </c>
      <c r="L91" s="3">
        <v>-4371</v>
      </c>
      <c r="M91" s="3">
        <v>-5465</v>
      </c>
      <c r="N91" s="3">
        <f>+SUM(N86:N90)</f>
        <v>-19495</v>
      </c>
      <c r="O91" s="3">
        <f>+SUM(O86:O90)</f>
        <v>-15977</v>
      </c>
    </row>
    <row r="93" spans="1:15" s="3" customFormat="1" ht="15" x14ac:dyDescent="0.25">
      <c r="A93" s="3" t="s">
        <v>94</v>
      </c>
      <c r="L93" s="3">
        <f>+L91+L84+L75</f>
        <v>11733</v>
      </c>
      <c r="M93" s="3">
        <f>+M91+M84+M75</f>
        <v>1025</v>
      </c>
      <c r="N93" s="3">
        <f>+N91+N84+N75</f>
        <v>-15479</v>
      </c>
      <c r="O93" s="3">
        <f>+O91+O84+O75</f>
        <v>-16374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E1E6AC-BE1F-4454-ACC0-808E93021859}">
  <ds:schemaRefs>
    <ds:schemaRef ds:uri="http://schemas.microsoft.com/office/2006/documentManagement/types"/>
    <ds:schemaRef ds:uri="02570eab-4ecf-4bb5-b806-a666b23f79b6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e0fd296-9832-4e10-a7ad-2bcee574d3b0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CAFD1E-70C1-468B-BCA7-27CB3B3A9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302561-F91D-4714-9836-447F718E17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2024-09-19T10:36:20Z</dcterms:created>
  <dcterms:modified xsi:type="dcterms:W3CDTF">2025-07-31T09:37:46Z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