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868" documentId="11_FE4855BF84DCCE436F107A399131F45B7AFB1D1F" xr6:coauthVersionLast="47" xr6:coauthVersionMax="47" xr10:uidLastSave="{EEE41069-62D3-412E-8C99-234CD1D52F55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Competito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O9" i="1"/>
  <c r="N9" i="1"/>
  <c r="L38" i="2"/>
  <c r="K38" i="2"/>
  <c r="J38" i="2"/>
  <c r="I38" i="2"/>
  <c r="H38" i="2"/>
  <c r="G38" i="2"/>
  <c r="M38" i="2"/>
  <c r="V35" i="2"/>
  <c r="V40" i="2"/>
  <c r="Z13" i="2"/>
  <c r="W19" i="2"/>
  <c r="W18" i="2"/>
  <c r="W17" i="2"/>
  <c r="W16" i="2"/>
  <c r="W14" i="2"/>
  <c r="W13" i="2"/>
  <c r="M40" i="2"/>
  <c r="M30" i="2"/>
  <c r="M34" i="2"/>
  <c r="M33" i="2"/>
  <c r="M32" i="2"/>
  <c r="M22" i="2"/>
  <c r="M20" i="2"/>
  <c r="M15" i="2"/>
  <c r="M31" i="2" s="1"/>
  <c r="M21" i="2" l="1"/>
  <c r="M23" i="2" s="1"/>
  <c r="M25" i="2" l="1"/>
  <c r="M36" i="2"/>
  <c r="M26" i="2" l="1"/>
  <c r="I20" i="3" l="1"/>
  <c r="G20" i="3"/>
  <c r="I12" i="3"/>
  <c r="I11" i="3"/>
  <c r="H10" i="3"/>
  <c r="L30" i="2"/>
  <c r="K30" i="2"/>
  <c r="I13" i="2"/>
  <c r="J30" i="2"/>
  <c r="I30" i="2"/>
  <c r="H30" i="2"/>
  <c r="G30" i="2"/>
  <c r="D13" i="2"/>
  <c r="D33" i="2" s="1"/>
  <c r="C13" i="2"/>
  <c r="C30" i="2" s="1"/>
  <c r="B13" i="2"/>
  <c r="Z19" i="2"/>
  <c r="Z34" i="2" s="1"/>
  <c r="W34" i="2"/>
  <c r="X17" i="2"/>
  <c r="X33" i="2" s="1"/>
  <c r="T93" i="2"/>
  <c r="V93" i="2"/>
  <c r="F93" i="2"/>
  <c r="J93" i="2"/>
  <c r="G93" i="2"/>
  <c r="H92" i="2"/>
  <c r="H93" i="2" s="1"/>
  <c r="K93" i="2"/>
  <c r="L93" i="2"/>
  <c r="L52" i="2"/>
  <c r="L50" i="2"/>
  <c r="L40" i="2"/>
  <c r="L45" i="2"/>
  <c r="L48" i="2" s="1"/>
  <c r="K34" i="2"/>
  <c r="J34" i="2"/>
  <c r="H34" i="2"/>
  <c r="G34" i="2"/>
  <c r="F34" i="2"/>
  <c r="K15" i="2"/>
  <c r="K31" i="2" s="1"/>
  <c r="K20" i="2"/>
  <c r="K22" i="2"/>
  <c r="K33" i="2"/>
  <c r="J15" i="2"/>
  <c r="J31" i="2" s="1"/>
  <c r="J20" i="2"/>
  <c r="J21" i="2"/>
  <c r="J22" i="2"/>
  <c r="J33" i="2"/>
  <c r="H15" i="2"/>
  <c r="H31" i="2" s="1"/>
  <c r="H20" i="2"/>
  <c r="H22" i="2"/>
  <c r="H33" i="2"/>
  <c r="G15" i="2"/>
  <c r="G31" i="2" s="1"/>
  <c r="G20" i="2"/>
  <c r="G22" i="2"/>
  <c r="G33" i="2"/>
  <c r="F15" i="2"/>
  <c r="F31" i="2" s="1"/>
  <c r="F20" i="2"/>
  <c r="F22" i="2"/>
  <c r="F33" i="2"/>
  <c r="K32" i="2"/>
  <c r="J32" i="2"/>
  <c r="H32" i="2"/>
  <c r="G32" i="2"/>
  <c r="F32" i="2"/>
  <c r="K29" i="2"/>
  <c r="J29" i="2"/>
  <c r="L34" i="2"/>
  <c r="L15" i="2"/>
  <c r="L31" i="2" s="1"/>
  <c r="L20" i="2"/>
  <c r="L22" i="2"/>
  <c r="L33" i="2"/>
  <c r="L32" i="2"/>
  <c r="L29" i="2"/>
  <c r="B20" i="2"/>
  <c r="F35" i="2" s="1"/>
  <c r="V27" i="2"/>
  <c r="W27" i="2" s="1"/>
  <c r="X27" i="2" s="1"/>
  <c r="F29" i="2"/>
  <c r="V24" i="2"/>
  <c r="U27" i="2"/>
  <c r="U24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E19" i="2"/>
  <c r="U19" i="2" s="1"/>
  <c r="E18" i="2"/>
  <c r="U18" i="2" s="1"/>
  <c r="B15" i="2"/>
  <c r="B31" i="2" s="1"/>
  <c r="B22" i="2"/>
  <c r="C20" i="2"/>
  <c r="C22" i="2"/>
  <c r="D20" i="2"/>
  <c r="D22" i="2"/>
  <c r="E14" i="2"/>
  <c r="U14" i="2" s="1"/>
  <c r="E16" i="2"/>
  <c r="E17" i="2"/>
  <c r="U17" i="2" s="1"/>
  <c r="I19" i="2"/>
  <c r="I18" i="2"/>
  <c r="V18" i="2" s="1"/>
  <c r="X18" i="2" s="1"/>
  <c r="Y18" i="2" s="1"/>
  <c r="Z18" i="2" s="1"/>
  <c r="AA18" i="2" s="1"/>
  <c r="AB18" i="2" s="1"/>
  <c r="AC18" i="2" s="1"/>
  <c r="I14" i="2"/>
  <c r="I15" i="2" s="1"/>
  <c r="I31" i="2" s="1"/>
  <c r="I16" i="2"/>
  <c r="V16" i="2" s="1"/>
  <c r="I17" i="2"/>
  <c r="I33" i="2" s="1"/>
  <c r="J35" i="2"/>
  <c r="L6" i="1"/>
  <c r="L4" i="1"/>
  <c r="L7" i="1"/>
  <c r="X14" i="2"/>
  <c r="Y14" i="2" s="1"/>
  <c r="V13" i="2"/>
  <c r="W29" i="2" s="1"/>
  <c r="B34" i="2"/>
  <c r="B33" i="2"/>
  <c r="B32" i="2"/>
  <c r="X19" i="2"/>
  <c r="X34" i="2" s="1"/>
  <c r="W15" i="2"/>
  <c r="W31" i="2" s="1"/>
  <c r="X29" i="2"/>
  <c r="Y19" i="2"/>
  <c r="Y34" i="2" s="1"/>
  <c r="W33" i="2"/>
  <c r="Y29" i="2"/>
  <c r="Z29" i="2"/>
  <c r="Y38" i="2"/>
  <c r="K35" i="2" l="1"/>
  <c r="AA13" i="2"/>
  <c r="AA29" i="2" s="1"/>
  <c r="D34" i="2"/>
  <c r="B21" i="2"/>
  <c r="B23" i="2" s="1"/>
  <c r="G35" i="2"/>
  <c r="K21" i="2"/>
  <c r="K23" i="2" s="1"/>
  <c r="K36" i="2" s="1"/>
  <c r="J23" i="2"/>
  <c r="J25" i="2" s="1"/>
  <c r="J26" i="2" s="1"/>
  <c r="W22" i="2"/>
  <c r="L57" i="2"/>
  <c r="I22" i="2"/>
  <c r="V22" i="2" s="1"/>
  <c r="V14" i="2"/>
  <c r="V15" i="2" s="1"/>
  <c r="G21" i="2"/>
  <c r="G23" i="2" s="1"/>
  <c r="Y17" i="2"/>
  <c r="Z17" i="2" s="1"/>
  <c r="Y15" i="2"/>
  <c r="Y31" i="2" s="1"/>
  <c r="Z14" i="2"/>
  <c r="AA14" i="2" s="1"/>
  <c r="AA15" i="2" s="1"/>
  <c r="V32" i="2"/>
  <c r="V17" i="2"/>
  <c r="V33" i="2" s="1"/>
  <c r="C32" i="2"/>
  <c r="C15" i="2"/>
  <c r="U16" i="2"/>
  <c r="C33" i="2"/>
  <c r="D30" i="2"/>
  <c r="F21" i="2"/>
  <c r="F23" i="2" s="1"/>
  <c r="F25" i="2" s="1"/>
  <c r="F26" i="2" s="1"/>
  <c r="X15" i="2"/>
  <c r="X31" i="2" s="1"/>
  <c r="H29" i="2"/>
  <c r="D32" i="2"/>
  <c r="D15" i="2"/>
  <c r="L21" i="2"/>
  <c r="L23" i="2" s="1"/>
  <c r="L25" i="2" s="1"/>
  <c r="M37" i="2" s="1"/>
  <c r="H35" i="2"/>
  <c r="E13" i="2"/>
  <c r="E32" i="2" s="1"/>
  <c r="I32" i="2"/>
  <c r="M29" i="2"/>
  <c r="G29" i="2"/>
  <c r="C34" i="2"/>
  <c r="I34" i="2"/>
  <c r="V19" i="2"/>
  <c r="V34" i="2" s="1"/>
  <c r="I20" i="2"/>
  <c r="M35" i="2" s="1"/>
  <c r="B25" i="2"/>
  <c r="B26" i="2" s="1"/>
  <c r="B36" i="2"/>
  <c r="E22" i="2"/>
  <c r="U22" i="2" s="1"/>
  <c r="X26" i="2"/>
  <c r="Y27" i="2"/>
  <c r="L35" i="2"/>
  <c r="H21" i="2"/>
  <c r="H23" i="2" s="1"/>
  <c r="E20" i="2"/>
  <c r="W32" i="2"/>
  <c r="J36" i="2"/>
  <c r="K25" i="2" l="1"/>
  <c r="AB13" i="2"/>
  <c r="AA19" i="2"/>
  <c r="AA34" i="2" s="1"/>
  <c r="Z15" i="2"/>
  <c r="Z31" i="2" s="1"/>
  <c r="U13" i="2"/>
  <c r="U15" i="2" s="1"/>
  <c r="U31" i="2" s="1"/>
  <c r="L59" i="2"/>
  <c r="L60" i="2" s="1"/>
  <c r="Y33" i="2"/>
  <c r="U32" i="2"/>
  <c r="L36" i="2"/>
  <c r="AB14" i="2"/>
  <c r="AC14" i="2" s="1"/>
  <c r="D31" i="2"/>
  <c r="D21" i="2"/>
  <c r="D23" i="2" s="1"/>
  <c r="D25" i="2" s="1"/>
  <c r="C21" i="2"/>
  <c r="C23" i="2" s="1"/>
  <c r="C31" i="2"/>
  <c r="K26" i="2"/>
  <c r="K37" i="2"/>
  <c r="W20" i="2"/>
  <c r="X16" i="2"/>
  <c r="AB15" i="2"/>
  <c r="AB31" i="2" s="1"/>
  <c r="V20" i="2"/>
  <c r="V21" i="2" s="1"/>
  <c r="V23" i="2" s="1"/>
  <c r="F36" i="2"/>
  <c r="U20" i="2"/>
  <c r="E34" i="2"/>
  <c r="I29" i="2"/>
  <c r="E15" i="2"/>
  <c r="E31" i="2" s="1"/>
  <c r="F30" i="2"/>
  <c r="E30" i="2"/>
  <c r="E33" i="2"/>
  <c r="V31" i="2"/>
  <c r="G25" i="2"/>
  <c r="G36" i="2"/>
  <c r="I35" i="2"/>
  <c r="I21" i="2"/>
  <c r="I23" i="2" s="1"/>
  <c r="AA31" i="2"/>
  <c r="AA17" i="2"/>
  <c r="Z33" i="2"/>
  <c r="L63" i="2"/>
  <c r="L37" i="2"/>
  <c r="L26" i="2"/>
  <c r="L62" i="2"/>
  <c r="H25" i="2"/>
  <c r="H36" i="2"/>
  <c r="Y26" i="2"/>
  <c r="Z27" i="2"/>
  <c r="AA27" i="2" s="1"/>
  <c r="AB27" i="2" s="1"/>
  <c r="AC27" i="2" s="1"/>
  <c r="U33" i="2" l="1"/>
  <c r="V29" i="2"/>
  <c r="D36" i="2"/>
  <c r="U21" i="2"/>
  <c r="U23" i="2" s="1"/>
  <c r="U36" i="2" s="1"/>
  <c r="U34" i="2"/>
  <c r="AB29" i="2"/>
  <c r="AC13" i="2"/>
  <c r="AB19" i="2"/>
  <c r="AB34" i="2" s="1"/>
  <c r="X20" i="2"/>
  <c r="W21" i="2"/>
  <c r="W23" i="2" s="1"/>
  <c r="W35" i="2"/>
  <c r="U25" i="2"/>
  <c r="U26" i="2" s="1"/>
  <c r="E21" i="2"/>
  <c r="E23" i="2" s="1"/>
  <c r="C25" i="2"/>
  <c r="D37" i="2" s="1"/>
  <c r="C36" i="2"/>
  <c r="X32" i="2"/>
  <c r="Y16" i="2"/>
  <c r="I25" i="2"/>
  <c r="I36" i="2"/>
  <c r="H37" i="2"/>
  <c r="H26" i="2"/>
  <c r="G37" i="2"/>
  <c r="G26" i="2"/>
  <c r="V25" i="2"/>
  <c r="V36" i="2"/>
  <c r="D26" i="2"/>
  <c r="AB17" i="2"/>
  <c r="AA33" i="2"/>
  <c r="AC29" i="2" l="1"/>
  <c r="AC19" i="2"/>
  <c r="AC34" i="2" s="1"/>
  <c r="AC15" i="2"/>
  <c r="AC31" i="2" s="1"/>
  <c r="C37" i="2"/>
  <c r="C26" i="2"/>
  <c r="E36" i="2"/>
  <c r="E25" i="2"/>
  <c r="W24" i="2"/>
  <c r="W36" i="2" s="1"/>
  <c r="Z16" i="2"/>
  <c r="Y32" i="2"/>
  <c r="X21" i="2"/>
  <c r="Y20" i="2"/>
  <c r="X35" i="2"/>
  <c r="AC17" i="2"/>
  <c r="AC33" i="2" s="1"/>
  <c r="AB33" i="2"/>
  <c r="I26" i="2"/>
  <c r="I37" i="2"/>
  <c r="J37" i="2"/>
  <c r="V26" i="2"/>
  <c r="V38" i="2"/>
  <c r="W25" i="2" l="1"/>
  <c r="W40" i="2" s="1"/>
  <c r="W26" i="2"/>
  <c r="W38" i="2"/>
  <c r="AA16" i="2"/>
  <c r="Z32" i="2"/>
  <c r="E26" i="2"/>
  <c r="F37" i="2"/>
  <c r="E37" i="2"/>
  <c r="Y35" i="2"/>
  <c r="Z20" i="2"/>
  <c r="Y21" i="2"/>
  <c r="X38" i="2" l="1"/>
  <c r="AA32" i="2"/>
  <c r="AB16" i="2"/>
  <c r="AA20" i="2"/>
  <c r="Z35" i="2"/>
  <c r="Z21" i="2"/>
  <c r="X40" i="2"/>
  <c r="X22" i="2"/>
  <c r="X23" i="2" s="1"/>
  <c r="X24" i="2" s="1"/>
  <c r="X36" i="2" s="1"/>
  <c r="Y22" i="2" l="1"/>
  <c r="Y23" i="2" s="1"/>
  <c r="Y24" i="2" s="1"/>
  <c r="Y36" i="2" s="1"/>
  <c r="Y40" i="2"/>
  <c r="Z22" i="2" s="1"/>
  <c r="Z23" i="2" s="1"/>
  <c r="AB20" i="2"/>
  <c r="AA21" i="2"/>
  <c r="AA35" i="2"/>
  <c r="AB32" i="2"/>
  <c r="AC16" i="2"/>
  <c r="AC32" i="2" s="1"/>
  <c r="AB35" i="2" l="1"/>
  <c r="AB21" i="2"/>
  <c r="AC20" i="2"/>
  <c r="Z24" i="2"/>
  <c r="Z36" i="2" s="1"/>
  <c r="Z25" i="2" l="1"/>
  <c r="Z38" i="2" s="1"/>
  <c r="Z40" i="2"/>
  <c r="AA22" i="2" s="1"/>
  <c r="AA23" i="2" s="1"/>
  <c r="AA24" i="2" s="1"/>
  <c r="AA36" i="2" s="1"/>
  <c r="Z26" i="2"/>
  <c r="AC21" i="2"/>
  <c r="AC35" i="2"/>
  <c r="AA25" i="2" l="1"/>
  <c r="AA26" i="2" l="1"/>
  <c r="AA38" i="2"/>
  <c r="AA40" i="2"/>
  <c r="AB22" i="2" l="1"/>
  <c r="AB23" i="2" s="1"/>
  <c r="AB24" i="2" l="1"/>
  <c r="AB36" i="2" s="1"/>
  <c r="AB25" i="2" l="1"/>
  <c r="AB26" i="2" l="1"/>
  <c r="AB38" i="2"/>
  <c r="AB40" i="2"/>
  <c r="AC22" i="2" l="1"/>
  <c r="AC23" i="2" s="1"/>
  <c r="AC24" i="2" l="1"/>
  <c r="AC36" i="2" s="1"/>
  <c r="AC25" i="2" l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AC38" i="2" l="1"/>
  <c r="AC26" i="2"/>
  <c r="AC40" i="2"/>
  <c r="P32" i="2" l="1"/>
  <c r="P33" i="2" s="1"/>
  <c r="P34" i="2" s="1"/>
</calcChain>
</file>

<file path=xl/sharedStrings.xml><?xml version="1.0" encoding="utf-8"?>
<sst xmlns="http://schemas.openxmlformats.org/spreadsheetml/2006/main" count="145" uniqueCount="104">
  <si>
    <t>ADMA</t>
  </si>
  <si>
    <t>Price</t>
  </si>
  <si>
    <t>Shares</t>
  </si>
  <si>
    <t>MC</t>
  </si>
  <si>
    <t>Cash</t>
  </si>
  <si>
    <t>Debt</t>
  </si>
  <si>
    <t>EV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</si>
  <si>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</si>
  <si>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</si>
  <si>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</si>
  <si>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</si>
  <si>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</si>
  <si>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</si>
  <si>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</si>
  <si>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</si>
  <si>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</si>
  <si>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</si>
  <si>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</si>
  <si>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</si>
  <si>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BIVIGAM</t>
  </si>
  <si>
    <t>ASCENIV</t>
  </si>
  <si>
    <t>Nabi-HB</t>
  </si>
  <si>
    <t>Revenues</t>
  </si>
  <si>
    <t xml:space="preserve"> </t>
  </si>
  <si>
    <t>Cost</t>
  </si>
  <si>
    <t>Gross Income</t>
  </si>
  <si>
    <t>RD</t>
  </si>
  <si>
    <t>Plasma Exp</t>
  </si>
  <si>
    <t>Amortization</t>
  </si>
  <si>
    <t>SGA</t>
  </si>
  <si>
    <t>OPEX</t>
  </si>
  <si>
    <t>Operating Income</t>
  </si>
  <si>
    <t>Interest Income</t>
  </si>
  <si>
    <t>Pretax</t>
  </si>
  <si>
    <t>Taxes</t>
  </si>
  <si>
    <t xml:space="preserve">NI </t>
  </si>
  <si>
    <t>EPS</t>
  </si>
  <si>
    <t>Rev y/y</t>
  </si>
  <si>
    <t>Rev q/q</t>
  </si>
  <si>
    <t>Gross %</t>
  </si>
  <si>
    <t>DR</t>
  </si>
  <si>
    <t>RD %</t>
  </si>
  <si>
    <t>NPV</t>
  </si>
  <si>
    <t>Plasma Exp %</t>
  </si>
  <si>
    <t>Per Share</t>
  </si>
  <si>
    <t>SGA %</t>
  </si>
  <si>
    <t>OPEX y/y</t>
  </si>
  <si>
    <t>Taxe rate</t>
  </si>
  <si>
    <t>NI q/q</t>
  </si>
  <si>
    <t>NI y/y</t>
  </si>
  <si>
    <t>NC</t>
  </si>
  <si>
    <t>AR</t>
  </si>
  <si>
    <t>Inventories</t>
  </si>
  <si>
    <t>Prepaid Expenses</t>
  </si>
  <si>
    <t>PPE</t>
  </si>
  <si>
    <t>Intagibles</t>
  </si>
  <si>
    <t>Right to use</t>
  </si>
  <si>
    <t>Deposits</t>
  </si>
  <si>
    <t>Assets</t>
  </si>
  <si>
    <t>AP</t>
  </si>
  <si>
    <t>Defered Expenses</t>
  </si>
  <si>
    <t>Leases</t>
  </si>
  <si>
    <t>Senior Notes</t>
  </si>
  <si>
    <t>Term fee</t>
  </si>
  <si>
    <t>ONL</t>
  </si>
  <si>
    <t>Liabilities</t>
  </si>
  <si>
    <t>S/E</t>
  </si>
  <si>
    <t>L+S/E</t>
  </si>
  <si>
    <t>ROA</t>
  </si>
  <si>
    <t>ROE</t>
  </si>
  <si>
    <t>NI calc</t>
  </si>
  <si>
    <t>NI reported</t>
  </si>
  <si>
    <t>DA</t>
  </si>
  <si>
    <t>Loss</t>
  </si>
  <si>
    <t>Interest Paid</t>
  </si>
  <si>
    <t>SBC</t>
  </si>
  <si>
    <t>Amortizations</t>
  </si>
  <si>
    <t>AE</t>
  </si>
  <si>
    <t>ONCL</t>
  </si>
  <si>
    <t>CFFO</t>
  </si>
  <si>
    <t>Purchases of PPE</t>
  </si>
  <si>
    <t>Acquisitions</t>
  </si>
  <si>
    <t>CFFI</t>
  </si>
  <si>
    <t>Repayments</t>
  </si>
  <si>
    <t>Pay of Notes</t>
  </si>
  <si>
    <t>Proceeds os SO</t>
  </si>
  <si>
    <t>CFFF</t>
  </si>
  <si>
    <t>CapeX</t>
  </si>
  <si>
    <t>FCF</t>
  </si>
  <si>
    <t>SMMT</t>
  </si>
  <si>
    <t>ITCI</t>
  </si>
  <si>
    <t>VTRS</t>
  </si>
  <si>
    <t>GMAB</t>
  </si>
  <si>
    <t>??</t>
  </si>
  <si>
    <t>KMDA</t>
  </si>
  <si>
    <t>TAK</t>
  </si>
  <si>
    <t>GRFS</t>
  </si>
  <si>
    <t>Guidance</t>
  </si>
  <si>
    <t>EBITDA</t>
  </si>
  <si>
    <t>NI</t>
  </si>
  <si>
    <t>REV</t>
  </si>
  <si>
    <t>EV/E24</t>
  </si>
  <si>
    <t>EV/E25</t>
  </si>
  <si>
    <t>EV/E26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</si>
</sst>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7" fontId="0" fillId="0" borderId="0" xfId="0" applyNumberFormat="1"/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13" fontId="0" fillId="0" borderId="0" xfId="0" applyNumberFormat="1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9"/>
  <sheetViews>
    <sheetView tabSelected="1" workbookViewId="0">
      <selection activeCell="P9" sqref="P9"/>
    </sheetView>
  </sheetViews>
  <sheetFormatPr defaultRowHeight="15" x14ac:dyDescent="0.25"/>
  <cols>
    <col min="12" max="12" width="9.28515625" bestFit="1" customWidth="1"/>
  </cols>
  <sheetData>
    <row r="2" spans="2:16" x14ac:dyDescent="0.25">
      <c r="B2" t="s">
        <v>0</v>
      </c>
      <c r="K2" t="s">
        <v>1</v>
      </c>
      <c r="L2" s="1">
        <v>15.9</v>
      </c>
    </row>
    <row r="3" spans="2:16" x14ac:dyDescent="0.25">
      <c r="K3" t="s">
        <v>2</v>
      </c>
      <c r="L3" s="1">
        <v>236.390253</v>
      </c>
    </row>
    <row r="4" spans="2:16" x14ac:dyDescent="0.25">
      <c r="K4" t="s">
        <v>3</v>
      </c>
      <c r="L4" s="1">
        <f>+L3*L2</f>
        <v>3758.6050227000001</v>
      </c>
    </row>
    <row r="5" spans="2:16" x14ac:dyDescent="0.25">
      <c r="K5" t="s">
        <v>4</v>
      </c>
      <c r="L5" s="1">
        <v>86.7</v>
      </c>
    </row>
    <row r="6" spans="2:16" x14ac:dyDescent="0.25">
      <c r="K6" t="s">
        <v>5</v>
      </c>
      <c r="L6" s="1">
        <f>1.193+1688+8.865</f>
        <v>1698.058</v>
      </c>
    </row>
    <row r="7" spans="2:16" x14ac:dyDescent="0.25">
      <c r="K7" t="s">
        <v>6</v>
      </c>
      <c r="L7" s="1">
        <f>+L4-L5+L6</f>
        <v>5369.9630226999998</v>
      </c>
      <c r="N7" t="s">
        <v>101</v>
      </c>
      <c r="O7" t="s">
        <v>102</v>
      </c>
      <c r="P7" t="s">
        <v>103</v>
      </c>
    </row>
    <row r="9" spans="2:16" x14ac:dyDescent="0.25">
      <c r="N9">
        <f>+L7/104</f>
        <v>51.634259833653843</v>
      </c>
      <c r="O9">
        <f>+L7/175</f>
        <v>30.685502986857141</v>
      </c>
      <c r="P9">
        <f>+L7/235</f>
        <v>22.850906479574466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BCF2-9A5D-49E6-9CA3-FDE73E8A9466}">
  <dimension ref="A1:XFD93"/>
  <sheetViews>
    <sheetView workbookViewId="0">
      <pane xSplit="1" ySplit="2" topLeftCell="F8" activePane="bottomRight" state="frozen"/>
      <selection pane="topRight"/>
      <selection pane="bottomLeft"/>
      <selection pane="bottomRight" activeCell="Y9" sqref="Y9"/>
    </sheetView>
  </sheetViews>
  <sheetFormatPr defaultRowHeight="15" x14ac:dyDescent="0.25"/>
  <cols>
    <col min="1" max="1" width="16.5703125" bestFit="1" customWidth="1"/>
    <col min="5" max="5" width="9.28515625" bestFit="1" customWidth="1"/>
    <col min="8" max="8" width="9.28515625" bestFit="1" customWidth="1"/>
    <col min="12" max="12" width="9.28515625" bestFit="1" customWidth="1"/>
    <col min="16" max="16" width="17" bestFit="1" customWidth="1"/>
  </cols>
  <sheetData>
    <row r="1" spans="1:34" x14ac:dyDescent="0.25">
      <c r="B1" s="2">
        <v>38838</v>
      </c>
      <c r="C1" s="2">
        <v>38565</v>
      </c>
      <c r="D1" s="2">
        <v>38292</v>
      </c>
      <c r="I1" s="2">
        <v>44958</v>
      </c>
      <c r="J1" s="2">
        <v>37742</v>
      </c>
      <c r="K1" s="2">
        <v>39661</v>
      </c>
      <c r="L1" s="2">
        <v>39387</v>
      </c>
    </row>
    <row r="2" spans="1:34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O2" t="s">
        <v>23</v>
      </c>
      <c r="T2">
        <v>2021</v>
      </c>
      <c r="U2">
        <v>2022</v>
      </c>
      <c r="V2">
        <f>+U2+1</f>
        <v>2023</v>
      </c>
      <c r="W2">
        <f t="shared" ref="W2:AH2" si="0">+V2+1</f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  <c r="AC2">
        <f t="shared" si="0"/>
        <v>2030</v>
      </c>
      <c r="AD2">
        <f t="shared" si="0"/>
        <v>2031</v>
      </c>
      <c r="AE2">
        <f t="shared" si="0"/>
        <v>2032</v>
      </c>
      <c r="AF2">
        <f t="shared" si="0"/>
        <v>2033</v>
      </c>
      <c r="AG2">
        <f t="shared" si="0"/>
        <v>2034</v>
      </c>
      <c r="AH2">
        <f t="shared" si="0"/>
        <v>2035</v>
      </c>
    </row>
    <row r="3" spans="1:34" x14ac:dyDescent="0.25">
      <c r="A3" t="s">
        <v>19</v>
      </c>
    </row>
    <row r="4" spans="1:34" x14ac:dyDescent="0.25">
      <c r="A4" t="s">
        <v>20</v>
      </c>
    </row>
    <row r="5" spans="1:34" x14ac:dyDescent="0.25">
      <c r="A5" t="s">
        <v>21</v>
      </c>
    </row>
    <row r="7" spans="1:34" x14ac:dyDescent="0.25">
      <c r="A7" t="s">
        <v>97</v>
      </c>
    </row>
    <row r="8" spans="1:34" x14ac:dyDescent="0.25">
      <c r="A8" t="s">
        <v>100</v>
      </c>
    </row>
    <row r="9" spans="1:34" x14ac:dyDescent="0.25">
      <c r="A9" t="s">
        <v>98</v>
      </c>
      <c r="X9">
        <v>175</v>
      </c>
      <c r="Y9">
        <v>235</v>
      </c>
      <c r="AC9">
        <v>1000</v>
      </c>
    </row>
    <row r="10" spans="1:34" x14ac:dyDescent="0.25">
      <c r="A10" t="s">
        <v>99</v>
      </c>
      <c r="W10">
        <v>417</v>
      </c>
      <c r="X10">
        <v>490</v>
      </c>
      <c r="Y10">
        <v>605</v>
      </c>
    </row>
    <row r="12" spans="1:34" x14ac:dyDescent="0.25">
      <c r="W12" t="s">
        <v>23</v>
      </c>
      <c r="X12" t="s">
        <v>23</v>
      </c>
      <c r="Y12" t="s">
        <v>23</v>
      </c>
    </row>
    <row r="13" spans="1:34" x14ac:dyDescent="0.25">
      <c r="A13" t="s">
        <v>22</v>
      </c>
      <c r="B13" s="1">
        <f>29.067+0.035708</f>
        <v>29.102708</v>
      </c>
      <c r="C13" s="1">
        <f>33.869+0.0357099</f>
        <v>33.9047099</v>
      </c>
      <c r="D13" s="1">
        <f>41.054+0.035708</f>
        <v>41.089708000000002</v>
      </c>
      <c r="E13" s="1">
        <f>153.936+0.142-D13-C13-B13</f>
        <v>49.980874100000001</v>
      </c>
      <c r="F13" s="1">
        <v>56.914000000000001</v>
      </c>
      <c r="G13" s="1">
        <v>60.122999999999998</v>
      </c>
      <c r="H13" s="1">
        <v>67.275000000000006</v>
      </c>
      <c r="I13" s="1">
        <f>258.215-H13-G13-F13</f>
        <v>73.902999999999977</v>
      </c>
      <c r="J13" s="1">
        <v>81.875</v>
      </c>
      <c r="K13" s="1">
        <v>107.191</v>
      </c>
      <c r="L13" s="1">
        <v>119.839</v>
      </c>
      <c r="M13" s="1">
        <v>119.839</v>
      </c>
      <c r="N13" s="1"/>
      <c r="T13" t="s">
        <v>23</v>
      </c>
      <c r="U13" s="1">
        <f>+SUM(B13:E13)</f>
        <v>154.078</v>
      </c>
      <c r="V13" s="1">
        <f>+SUM(F13:I13)</f>
        <v>258.21499999999997</v>
      </c>
      <c r="W13" s="1">
        <f>+SUM(J13:M13)</f>
        <v>428.74399999999997</v>
      </c>
      <c r="X13" s="1">
        <v>490</v>
      </c>
      <c r="Y13" s="1">
        <v>605</v>
      </c>
      <c r="Z13" s="1">
        <f>+Y13*1.1</f>
        <v>665.5</v>
      </c>
      <c r="AA13" s="1">
        <f t="shared" ref="AA13:AC13" si="1">+Z13*1.2</f>
        <v>798.6</v>
      </c>
      <c r="AB13" s="1">
        <f t="shared" si="1"/>
        <v>958.31999999999994</v>
      </c>
      <c r="AC13" s="1">
        <f t="shared" si="1"/>
        <v>1149.9839999999999</v>
      </c>
      <c r="AD13" s="1"/>
      <c r="AE13" s="1"/>
      <c r="AF13" s="1"/>
      <c r="AG13" s="1"/>
      <c r="AH13" s="1"/>
    </row>
    <row r="14" spans="1:34" x14ac:dyDescent="0.25">
      <c r="A14" t="s">
        <v>24</v>
      </c>
      <c r="B14" s="1">
        <v>25.440999999999999</v>
      </c>
      <c r="C14" s="1">
        <v>26.135000000000002</v>
      </c>
      <c r="D14" s="1">
        <v>31.433</v>
      </c>
      <c r="E14" s="1">
        <f>118.814-D14-C14-B14</f>
        <v>35.804999999999993</v>
      </c>
      <c r="F14" s="1">
        <v>40.401000000000003</v>
      </c>
      <c r="G14" s="1">
        <v>43.433</v>
      </c>
      <c r="H14" s="1">
        <v>42.622</v>
      </c>
      <c r="I14" s="1">
        <f>169.273-H14-G14-F14</f>
        <v>42.816999999999986</v>
      </c>
      <c r="J14" s="1">
        <v>42.767000000000003</v>
      </c>
      <c r="K14" s="1">
        <v>49.738</v>
      </c>
      <c r="L14" s="1">
        <v>60.18</v>
      </c>
      <c r="M14" s="1">
        <v>60.18</v>
      </c>
      <c r="N14" s="1"/>
      <c r="U14" s="1">
        <f>+SUM(B14:E14)</f>
        <v>118.81399999999999</v>
      </c>
      <c r="V14" s="1">
        <f>+SUM(F14:I14)</f>
        <v>169.273</v>
      </c>
      <c r="W14" s="1">
        <f>+SUM(J14:M14)</f>
        <v>212.86500000000001</v>
      </c>
      <c r="X14" s="1">
        <f>+W14*1.05</f>
        <v>223.50825000000003</v>
      </c>
      <c r="Y14" s="1">
        <f t="shared" ref="Y14:AC14" si="2">+X14*1.05</f>
        <v>234.68366250000005</v>
      </c>
      <c r="Z14" s="1">
        <f t="shared" si="2"/>
        <v>246.41784562500007</v>
      </c>
      <c r="AA14" s="1">
        <f t="shared" si="2"/>
        <v>258.73873790625009</v>
      </c>
      <c r="AB14" s="1">
        <f t="shared" si="2"/>
        <v>271.67567480156259</v>
      </c>
      <c r="AC14" s="1">
        <f t="shared" si="2"/>
        <v>285.25945854164075</v>
      </c>
      <c r="AD14" s="1"/>
      <c r="AE14" s="1"/>
      <c r="AF14" s="1"/>
      <c r="AG14" s="1"/>
      <c r="AH14" s="1"/>
    </row>
    <row r="15" spans="1:34" x14ac:dyDescent="0.25">
      <c r="A15" t="s">
        <v>25</v>
      </c>
      <c r="B15" s="1">
        <f t="shared" ref="B15:L15" si="3">+B13-B14</f>
        <v>3.6617080000000009</v>
      </c>
      <c r="C15" s="1">
        <f t="shared" si="3"/>
        <v>7.7697098999999987</v>
      </c>
      <c r="D15" s="1">
        <f t="shared" si="3"/>
        <v>9.6567080000000018</v>
      </c>
      <c r="E15" s="1">
        <f t="shared" si="3"/>
        <v>14.175874100000009</v>
      </c>
      <c r="F15" s="1">
        <f t="shared" si="3"/>
        <v>16.512999999999998</v>
      </c>
      <c r="G15" s="1">
        <f t="shared" si="3"/>
        <v>16.689999999999998</v>
      </c>
      <c r="H15" s="1">
        <f t="shared" si="3"/>
        <v>24.653000000000006</v>
      </c>
      <c r="I15" s="1">
        <f t="shared" si="3"/>
        <v>31.085999999999991</v>
      </c>
      <c r="J15" s="1">
        <f t="shared" si="3"/>
        <v>39.107999999999997</v>
      </c>
      <c r="K15" s="1">
        <f t="shared" si="3"/>
        <v>57.453000000000003</v>
      </c>
      <c r="L15" s="1">
        <f t="shared" si="3"/>
        <v>59.658999999999999</v>
      </c>
      <c r="M15" s="1">
        <f t="shared" ref="M15" si="4">+M13-M14</f>
        <v>59.658999999999999</v>
      </c>
      <c r="N15" s="1"/>
      <c r="U15" s="1">
        <f>+U13-U14</f>
        <v>35.26400000000001</v>
      </c>
      <c r="V15" s="1">
        <f>+V13-V14</f>
        <v>88.941999999999979</v>
      </c>
      <c r="W15" s="1">
        <f>+W13*0.5</f>
        <v>214.37199999999999</v>
      </c>
      <c r="X15" s="1">
        <f t="shared" ref="X15:AC15" si="5">+X13-X14</f>
        <v>266.49174999999997</v>
      </c>
      <c r="Y15" s="1">
        <f t="shared" si="5"/>
        <v>370.31633749999992</v>
      </c>
      <c r="Z15" s="1">
        <f t="shared" si="5"/>
        <v>419.08215437499996</v>
      </c>
      <c r="AA15" s="1">
        <f t="shared" si="5"/>
        <v>539.86126209374993</v>
      </c>
      <c r="AB15" s="1">
        <f t="shared" si="5"/>
        <v>686.6443251984374</v>
      </c>
      <c r="AC15" s="1">
        <f t="shared" si="5"/>
        <v>864.72454145835923</v>
      </c>
      <c r="AD15" s="1"/>
      <c r="AE15" s="1"/>
      <c r="AF15" s="1"/>
      <c r="AG15" s="1"/>
      <c r="AH15" s="1"/>
    </row>
    <row r="16" spans="1:34" x14ac:dyDescent="0.25">
      <c r="A16" t="s">
        <v>26</v>
      </c>
      <c r="B16" s="1">
        <v>0.624</v>
      </c>
      <c r="C16" s="1">
        <v>0.873</v>
      </c>
      <c r="D16" s="1">
        <v>1.0409999999999999</v>
      </c>
      <c r="E16" s="1">
        <f>3.613-D16-C16-B16</f>
        <v>1.0750000000000002</v>
      </c>
      <c r="F16" s="1">
        <v>0.85499999999999998</v>
      </c>
      <c r="G16" s="1">
        <v>1.403</v>
      </c>
      <c r="H16" s="1">
        <v>0.59599999999999997</v>
      </c>
      <c r="I16" s="1">
        <f>3.3-H16-G16-F16</f>
        <v>0.44599999999999973</v>
      </c>
      <c r="J16" s="1">
        <v>0.45</v>
      </c>
      <c r="K16" s="1">
        <v>0.56000000000000005</v>
      </c>
      <c r="L16" s="1">
        <v>0.41199999999999998</v>
      </c>
      <c r="M16" s="1">
        <v>0.41199999999999998</v>
      </c>
      <c r="N16" s="1"/>
      <c r="U16" s="1">
        <f>+SUM(B16:E16)</f>
        <v>3.613</v>
      </c>
      <c r="V16" s="1">
        <f>+SUM(F16:I16)</f>
        <v>3.3</v>
      </c>
      <c r="W16" s="1">
        <f t="shared" ref="W16:W19" si="6">+SUM(J16:M16)</f>
        <v>1.8339999999999999</v>
      </c>
      <c r="X16" s="1">
        <f t="shared" ref="X16:AC16" si="7">+W16</f>
        <v>1.8339999999999999</v>
      </c>
      <c r="Y16" s="1">
        <f t="shared" si="7"/>
        <v>1.8339999999999999</v>
      </c>
      <c r="Z16" s="1">
        <f t="shared" si="7"/>
        <v>1.8339999999999999</v>
      </c>
      <c r="AA16" s="1">
        <f t="shared" si="7"/>
        <v>1.8339999999999999</v>
      </c>
      <c r="AB16" s="1">
        <f t="shared" si="7"/>
        <v>1.8339999999999999</v>
      </c>
      <c r="AC16" s="1">
        <f t="shared" si="7"/>
        <v>1.8339999999999999</v>
      </c>
      <c r="AD16" s="1"/>
      <c r="AE16" s="1"/>
      <c r="AF16" s="1"/>
      <c r="AG16" s="1"/>
      <c r="AH16" s="1"/>
    </row>
    <row r="17" spans="1:55" x14ac:dyDescent="0.25">
      <c r="A17" t="s">
        <v>27</v>
      </c>
      <c r="B17" s="1">
        <v>3.9740000000000002</v>
      </c>
      <c r="C17" s="1">
        <v>3.9209999999999998</v>
      </c>
      <c r="D17" s="1">
        <v>4.859</v>
      </c>
      <c r="E17" s="1">
        <f>17.843-D17-C17-B17</f>
        <v>5.0890000000000004</v>
      </c>
      <c r="F17" s="1">
        <v>1.78</v>
      </c>
      <c r="G17" s="1">
        <v>1.333</v>
      </c>
      <c r="H17" s="1">
        <v>0.46700000000000003</v>
      </c>
      <c r="I17" s="1">
        <f>4.266-H17-G17-F17</f>
        <v>0.68600000000000017</v>
      </c>
      <c r="J17" s="1">
        <v>1.0049999999999999</v>
      </c>
      <c r="K17" s="1">
        <v>0.94199999999999995</v>
      </c>
      <c r="L17" s="1">
        <v>1.0209999999999999</v>
      </c>
      <c r="M17" s="1">
        <v>1.0209999999999999</v>
      </c>
      <c r="N17" s="1"/>
      <c r="U17" s="1">
        <f>+SUM(B17:E17)</f>
        <v>17.843</v>
      </c>
      <c r="V17" s="1">
        <f>+SUM(F17:I17)</f>
        <v>4.266</v>
      </c>
      <c r="W17" s="1">
        <f t="shared" si="6"/>
        <v>3.9889999999999999</v>
      </c>
      <c r="X17" s="1">
        <f>+W17*1.3</f>
        <v>5.1856999999999998</v>
      </c>
      <c r="Y17" s="1">
        <f t="shared" ref="Y17:AC17" si="8">+X17*1.3</f>
        <v>6.7414100000000001</v>
      </c>
      <c r="Z17" s="1">
        <f t="shared" si="8"/>
        <v>8.763833</v>
      </c>
      <c r="AA17" s="1">
        <f t="shared" si="8"/>
        <v>11.3929829</v>
      </c>
      <c r="AB17" s="1">
        <f t="shared" si="8"/>
        <v>14.810877769999999</v>
      </c>
      <c r="AC17" s="1">
        <f t="shared" si="8"/>
        <v>19.254141100999998</v>
      </c>
      <c r="AD17" s="1"/>
      <c r="AE17" s="1"/>
      <c r="AF17" s="1"/>
      <c r="AG17" s="1"/>
      <c r="AH17" s="1"/>
    </row>
    <row r="18" spans="1:55" x14ac:dyDescent="0.25">
      <c r="A18" t="s">
        <v>28</v>
      </c>
      <c r="B18" s="1">
        <v>0.17799999999999999</v>
      </c>
      <c r="C18" s="1">
        <v>0.17799999999999999</v>
      </c>
      <c r="D18" s="1">
        <v>0.17799999999999999</v>
      </c>
      <c r="E18" s="1">
        <f>0.715353-D18-C18-B18</f>
        <v>0.18135299999999999</v>
      </c>
      <c r="F18" s="1">
        <v>0.17899999999999999</v>
      </c>
      <c r="G18" s="1">
        <v>0.17899999999999999</v>
      </c>
      <c r="H18" s="1">
        <v>0.17899999999999999</v>
      </c>
      <c r="I18" s="1">
        <f>0.724-H18-G18-F18</f>
        <v>0.18699999999999994</v>
      </c>
      <c r="J18" s="1">
        <v>0.193</v>
      </c>
      <c r="K18" s="1">
        <v>0.14199999999999999</v>
      </c>
      <c r="L18" s="1">
        <v>2.8000000000000001E-2</v>
      </c>
      <c r="M18" s="1">
        <v>2.8000000000000001E-2</v>
      </c>
      <c r="N18" s="1"/>
      <c r="U18" s="1">
        <f>+SUM(B18:E18)</f>
        <v>0.71535300000000002</v>
      </c>
      <c r="V18" s="1">
        <f>+SUM(F18:I18)</f>
        <v>0.72399999999999987</v>
      </c>
      <c r="W18" s="1">
        <f t="shared" si="6"/>
        <v>0.39100000000000001</v>
      </c>
      <c r="X18" s="1">
        <f t="shared" ref="X18:AC18" si="9">+W18</f>
        <v>0.39100000000000001</v>
      </c>
      <c r="Y18" s="1">
        <f t="shared" si="9"/>
        <v>0.39100000000000001</v>
      </c>
      <c r="Z18" s="1">
        <f t="shared" si="9"/>
        <v>0.39100000000000001</v>
      </c>
      <c r="AA18" s="1">
        <f t="shared" si="9"/>
        <v>0.39100000000000001</v>
      </c>
      <c r="AB18" s="1">
        <f t="shared" si="9"/>
        <v>0.39100000000000001</v>
      </c>
      <c r="AC18" s="1">
        <f t="shared" si="9"/>
        <v>0.39100000000000001</v>
      </c>
      <c r="AD18" s="1"/>
      <c r="AE18" s="1"/>
      <c r="AF18" s="1"/>
      <c r="AG18" s="1"/>
      <c r="AH18" s="1"/>
    </row>
    <row r="19" spans="1:55" x14ac:dyDescent="0.25">
      <c r="A19" t="s">
        <v>29</v>
      </c>
      <c r="B19" s="1">
        <v>13.699</v>
      </c>
      <c r="C19" s="1">
        <v>11.97</v>
      </c>
      <c r="D19" s="1">
        <v>12.893000000000001</v>
      </c>
      <c r="E19" s="1">
        <f>52.458-D19-C19-B19</f>
        <v>13.895999999999999</v>
      </c>
      <c r="F19" s="1">
        <v>14.512</v>
      </c>
      <c r="G19" s="1">
        <v>14.247999999999999</v>
      </c>
      <c r="H19" s="1">
        <v>14.726000000000001</v>
      </c>
      <c r="I19" s="1">
        <f>59.02-H19-G19-F19</f>
        <v>15.534000000000006</v>
      </c>
      <c r="J19" s="1">
        <v>15.638999999999999</v>
      </c>
      <c r="K19" s="1">
        <v>16.608000000000001</v>
      </c>
      <c r="L19" s="1">
        <v>18.559999999999999</v>
      </c>
      <c r="M19" s="1">
        <v>18.559999999999999</v>
      </c>
      <c r="N19" s="1"/>
      <c r="U19" s="1">
        <f>+SUM(B19:E19)</f>
        <v>52.457999999999998</v>
      </c>
      <c r="V19" s="1">
        <f>+SUM(F19:I19)</f>
        <v>59.02</v>
      </c>
      <c r="W19" s="1">
        <f t="shared" si="6"/>
        <v>69.367000000000004</v>
      </c>
      <c r="X19" s="1">
        <f t="shared" ref="X19:AC19" si="10">+X13*0.15</f>
        <v>73.5</v>
      </c>
      <c r="Y19" s="1">
        <f t="shared" si="10"/>
        <v>90.75</v>
      </c>
      <c r="Z19" s="1">
        <f t="shared" si="10"/>
        <v>99.825000000000003</v>
      </c>
      <c r="AA19" s="1">
        <f t="shared" si="10"/>
        <v>119.78999999999999</v>
      </c>
      <c r="AB19" s="1">
        <f t="shared" si="10"/>
        <v>143.74799999999999</v>
      </c>
      <c r="AC19" s="1">
        <f t="shared" si="10"/>
        <v>172.49759999999998</v>
      </c>
      <c r="AD19" s="1"/>
      <c r="AE19" s="1"/>
      <c r="AF19" s="1"/>
      <c r="AG19" s="1"/>
      <c r="AH19" s="1"/>
    </row>
    <row r="20" spans="1:55" x14ac:dyDescent="0.25">
      <c r="A20" t="s">
        <v>30</v>
      </c>
      <c r="B20" s="1">
        <f t="shared" ref="B20:L20" si="11">+SUM(B16:B19)</f>
        <v>18.475000000000001</v>
      </c>
      <c r="C20" s="1">
        <f t="shared" si="11"/>
        <v>16.942</v>
      </c>
      <c r="D20" s="1">
        <f t="shared" si="11"/>
        <v>18.971</v>
      </c>
      <c r="E20" s="1">
        <f t="shared" si="11"/>
        <v>20.241353</v>
      </c>
      <c r="F20" s="1">
        <f t="shared" si="11"/>
        <v>17.326000000000001</v>
      </c>
      <c r="G20" s="1">
        <f t="shared" si="11"/>
        <v>17.163</v>
      </c>
      <c r="H20" s="1">
        <f t="shared" si="11"/>
        <v>15.968</v>
      </c>
      <c r="I20" s="1">
        <f t="shared" si="11"/>
        <v>16.853000000000005</v>
      </c>
      <c r="J20" s="1">
        <f t="shared" si="11"/>
        <v>17.286999999999999</v>
      </c>
      <c r="K20" s="1">
        <f t="shared" si="11"/>
        <v>18.251999999999999</v>
      </c>
      <c r="L20" s="1">
        <f t="shared" si="11"/>
        <v>20.020999999999997</v>
      </c>
      <c r="M20" s="1">
        <f t="shared" ref="M20" si="12">+SUM(M16:M19)</f>
        <v>20.020999999999997</v>
      </c>
      <c r="N20" s="1"/>
      <c r="U20" s="1">
        <f>+SUM(U16:U19)</f>
        <v>74.629352999999995</v>
      </c>
      <c r="V20" s="1">
        <f>+SUM(V16:V19)</f>
        <v>67.31</v>
      </c>
      <c r="W20" s="1">
        <f>+SUM(W16:W19)</f>
        <v>75.581000000000003</v>
      </c>
      <c r="X20" s="1">
        <f t="shared" ref="X20:AC20" si="13">+W20</f>
        <v>75.581000000000003</v>
      </c>
      <c r="Y20" s="1">
        <f t="shared" si="13"/>
        <v>75.581000000000003</v>
      </c>
      <c r="Z20" s="1">
        <f t="shared" si="13"/>
        <v>75.581000000000003</v>
      </c>
      <c r="AA20" s="1">
        <f t="shared" si="13"/>
        <v>75.581000000000003</v>
      </c>
      <c r="AB20" s="1">
        <f t="shared" si="13"/>
        <v>75.581000000000003</v>
      </c>
      <c r="AC20" s="1">
        <f t="shared" si="13"/>
        <v>75.581000000000003</v>
      </c>
      <c r="AD20" s="1"/>
      <c r="AE20" s="1"/>
      <c r="AF20" s="1"/>
      <c r="AG20" s="1"/>
      <c r="AH20" s="1"/>
    </row>
    <row r="21" spans="1:55" x14ac:dyDescent="0.25">
      <c r="A21" t="s">
        <v>31</v>
      </c>
      <c r="B21" s="1">
        <f t="shared" ref="B21:L21" si="14">+B15-B20</f>
        <v>-14.813292000000001</v>
      </c>
      <c r="C21" s="1">
        <f t="shared" si="14"/>
        <v>-9.1722901000000014</v>
      </c>
      <c r="D21" s="1">
        <f t="shared" si="14"/>
        <v>-9.3142919999999982</v>
      </c>
      <c r="E21" s="1">
        <f t="shared" si="14"/>
        <v>-6.0654788999999916</v>
      </c>
      <c r="F21" s="1">
        <f t="shared" si="14"/>
        <v>-0.81300000000000239</v>
      </c>
      <c r="G21" s="1">
        <f t="shared" si="14"/>
        <v>-0.47300000000000253</v>
      </c>
      <c r="H21" s="1">
        <f t="shared" si="14"/>
        <v>8.6850000000000058</v>
      </c>
      <c r="I21" s="1">
        <f t="shared" si="14"/>
        <v>14.232999999999986</v>
      </c>
      <c r="J21" s="1">
        <f t="shared" si="14"/>
        <v>21.820999999999998</v>
      </c>
      <c r="K21" s="1">
        <f t="shared" si="14"/>
        <v>39.201000000000008</v>
      </c>
      <c r="L21" s="1">
        <f t="shared" si="14"/>
        <v>39.638000000000005</v>
      </c>
      <c r="M21" s="1">
        <f t="shared" ref="M21" si="15">+M15-M20</f>
        <v>39.638000000000005</v>
      </c>
      <c r="N21" s="1"/>
      <c r="U21" s="1">
        <f>+U15-U20</f>
        <v>-39.365352999999985</v>
      </c>
      <c r="V21" s="1">
        <f t="shared" ref="V21:AC21" si="16">+V15-V20</f>
        <v>21.631999999999977</v>
      </c>
      <c r="W21" s="1">
        <f t="shared" si="16"/>
        <v>138.791</v>
      </c>
      <c r="X21" s="1">
        <f t="shared" si="16"/>
        <v>190.91074999999995</v>
      </c>
      <c r="Y21" s="1">
        <f t="shared" si="16"/>
        <v>294.7353374999999</v>
      </c>
      <c r="Z21" s="1">
        <f t="shared" si="16"/>
        <v>343.50115437499994</v>
      </c>
      <c r="AA21" s="1">
        <f t="shared" si="16"/>
        <v>464.28026209374991</v>
      </c>
      <c r="AB21" s="1">
        <f t="shared" si="16"/>
        <v>611.06332519843738</v>
      </c>
      <c r="AC21" s="1">
        <f t="shared" si="16"/>
        <v>789.14354145835921</v>
      </c>
      <c r="AD21" s="1"/>
      <c r="AE21" s="1"/>
      <c r="AF21" s="1"/>
      <c r="AG21" s="1"/>
      <c r="AH21" s="1"/>
    </row>
    <row r="22" spans="1:55" x14ac:dyDescent="0.25">
      <c r="A22" t="s">
        <v>32</v>
      </c>
      <c r="B22" s="1">
        <f>0.033068-3.389-6.669-0.166</f>
        <v>-10.190932</v>
      </c>
      <c r="C22" s="1">
        <f>0.002-4.573-0.019421</f>
        <v>-4.590421000000001</v>
      </c>
      <c r="D22" s="1">
        <f>0.007-5.58</f>
        <v>-5.5730000000000004</v>
      </c>
      <c r="E22" s="1">
        <f>0.044833-19.279-6.669-0.0634-D22-C22-B22</f>
        <v>-5.6122139999999998</v>
      </c>
      <c r="F22" s="1">
        <f>0.166-6.115-0.027</f>
        <v>-5.976</v>
      </c>
      <c r="G22" s="1">
        <f>0.414-6.299-0.013</f>
        <v>-5.8980000000000006</v>
      </c>
      <c r="H22" s="1">
        <f>0.423-6.398-0.145</f>
        <v>-6.1199999999999992</v>
      </c>
      <c r="I22" s="1">
        <f>1.617-25.027-26.174-0.287-H22-G22-F22</f>
        <v>-31.877000000000002</v>
      </c>
      <c r="J22" s="1">
        <f>0.384-3.769-0.035</f>
        <v>-3.4200000000000004</v>
      </c>
      <c r="K22" s="1">
        <f>0.449-3.783-0.016</f>
        <v>-3.35</v>
      </c>
      <c r="L22" s="1">
        <f>0.666-3.499-0.056</f>
        <v>-2.8890000000000002</v>
      </c>
      <c r="M22" s="1">
        <f>0.666-3.499-0.056</f>
        <v>-2.8890000000000002</v>
      </c>
      <c r="N22" s="1"/>
      <c r="U22" s="1">
        <f>+SUM(B22:E22)</f>
        <v>-25.966567000000005</v>
      </c>
      <c r="V22" s="1">
        <f>+SUM(F22:I22)</f>
        <v>-49.871000000000002</v>
      </c>
      <c r="W22" s="1">
        <f t="shared" ref="W22" si="17">+SUM(J22:M22)</f>
        <v>-12.548000000000002</v>
      </c>
      <c r="X22" s="1">
        <f t="shared" ref="X22:AC22" si="18">+W40*0.02</f>
        <v>3.0765251999999998</v>
      </c>
      <c r="Y22" s="1">
        <f t="shared" si="18"/>
        <v>6.4765252000000002</v>
      </c>
      <c r="Z22" s="1">
        <f t="shared" si="18"/>
        <v>11.076525200000001</v>
      </c>
      <c r="AA22" s="1">
        <f t="shared" si="18"/>
        <v>16.89159914503</v>
      </c>
      <c r="AB22" s="1">
        <f t="shared" si="18"/>
        <v>24.782817669345992</v>
      </c>
      <c r="AC22" s="1">
        <f t="shared" si="18"/>
        <v>35.210694412377642</v>
      </c>
      <c r="AD22" s="1"/>
      <c r="AE22" s="1"/>
      <c r="AF22" s="1"/>
      <c r="AG22" s="1"/>
      <c r="AH22" s="1"/>
    </row>
    <row r="23" spans="1:55" x14ac:dyDescent="0.25">
      <c r="A23" t="s">
        <v>33</v>
      </c>
      <c r="B23" s="1">
        <f t="shared" ref="B23:L23" si="19">+B21+B22</f>
        <v>-25.004224000000001</v>
      </c>
      <c r="C23" s="1">
        <f t="shared" si="19"/>
        <v>-13.762711100000002</v>
      </c>
      <c r="D23" s="1">
        <f t="shared" si="19"/>
        <v>-14.887291999999999</v>
      </c>
      <c r="E23" s="1">
        <f t="shared" si="19"/>
        <v>-11.677692899999991</v>
      </c>
      <c r="F23" s="1">
        <f t="shared" si="19"/>
        <v>-6.7890000000000024</v>
      </c>
      <c r="G23" s="1">
        <f t="shared" si="19"/>
        <v>-6.3710000000000031</v>
      </c>
      <c r="H23" s="1">
        <f t="shared" si="19"/>
        <v>2.5650000000000066</v>
      </c>
      <c r="I23" s="1">
        <f t="shared" si="19"/>
        <v>-17.644000000000016</v>
      </c>
      <c r="J23" s="1">
        <f t="shared" si="19"/>
        <v>18.400999999999996</v>
      </c>
      <c r="K23" s="1">
        <f t="shared" si="19"/>
        <v>35.851000000000006</v>
      </c>
      <c r="L23" s="1">
        <f t="shared" si="19"/>
        <v>36.749000000000002</v>
      </c>
      <c r="M23" s="1">
        <f t="shared" ref="M23" si="20">+M21+M22</f>
        <v>36.749000000000002</v>
      </c>
      <c r="N23" s="1"/>
      <c r="U23" s="1">
        <f>+U21+U22</f>
        <v>-65.331919999999997</v>
      </c>
      <c r="V23" s="1">
        <f>+V21+V22</f>
        <v>-28.239000000000026</v>
      </c>
      <c r="W23" s="1">
        <f>+W21+W22</f>
        <v>126.24299999999999</v>
      </c>
      <c r="X23" s="1">
        <f t="shared" ref="X23:AC23" si="21">+X21+X22</f>
        <v>193.98727519999994</v>
      </c>
      <c r="Y23" s="1">
        <f t="shared" si="21"/>
        <v>301.21186269999993</v>
      </c>
      <c r="Z23" s="1">
        <f t="shared" si="21"/>
        <v>354.57767957499993</v>
      </c>
      <c r="AA23" s="1">
        <f t="shared" si="21"/>
        <v>481.17186123877991</v>
      </c>
      <c r="AB23" s="1">
        <f t="shared" si="21"/>
        <v>635.84614286778333</v>
      </c>
      <c r="AC23" s="1">
        <f t="shared" si="21"/>
        <v>824.35423587073683</v>
      </c>
      <c r="AD23" s="1"/>
      <c r="AE23" s="1"/>
      <c r="AF23" s="1"/>
      <c r="AG23" s="1"/>
      <c r="AH23" s="1"/>
    </row>
    <row r="24" spans="1:55" x14ac:dyDescent="0.25">
      <c r="A24" t="s">
        <v>34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0.59499999999999997</v>
      </c>
      <c r="K24" s="1">
        <v>3.7890000000000001</v>
      </c>
      <c r="L24" s="1">
        <v>0.84</v>
      </c>
      <c r="M24" s="1">
        <v>0.84</v>
      </c>
      <c r="N24" s="1"/>
      <c r="U24" s="1">
        <f>+SUM(B24:E24)</f>
        <v>0</v>
      </c>
      <c r="V24" s="1">
        <f>+SUM(C24:F24)</f>
        <v>0</v>
      </c>
      <c r="W24" s="1">
        <f>+W23*0.18</f>
        <v>22.723739999999999</v>
      </c>
      <c r="X24" s="1">
        <f t="shared" ref="X24:AC24" si="22">+X23*0.18</f>
        <v>34.91770953599999</v>
      </c>
      <c r="Y24" s="1">
        <f t="shared" si="22"/>
        <v>54.218135285999985</v>
      </c>
      <c r="Z24" s="1">
        <f t="shared" si="22"/>
        <v>63.823982323499983</v>
      </c>
      <c r="AA24" s="1">
        <f t="shared" si="22"/>
        <v>86.610935022980385</v>
      </c>
      <c r="AB24" s="1">
        <f t="shared" si="22"/>
        <v>114.452305716201</v>
      </c>
      <c r="AC24" s="1">
        <f t="shared" si="22"/>
        <v>148.38376245673263</v>
      </c>
      <c r="AD24" s="1"/>
      <c r="AE24" s="1"/>
      <c r="AF24" s="1"/>
      <c r="AG24" s="1"/>
      <c r="AH24" s="1"/>
    </row>
    <row r="25" spans="1:55" x14ac:dyDescent="0.25">
      <c r="A25" t="s">
        <v>35</v>
      </c>
      <c r="B25" s="1">
        <f t="shared" ref="B25:L25" si="23">+B23-B24</f>
        <v>-25.004224000000001</v>
      </c>
      <c r="C25" s="1">
        <f t="shared" si="23"/>
        <v>-13.762711100000002</v>
      </c>
      <c r="D25" s="1">
        <f t="shared" si="23"/>
        <v>-14.887291999999999</v>
      </c>
      <c r="E25" s="1">
        <f t="shared" si="23"/>
        <v>-11.677692899999991</v>
      </c>
      <c r="F25" s="1">
        <f t="shared" si="23"/>
        <v>-6.7890000000000024</v>
      </c>
      <c r="G25" s="1">
        <f t="shared" si="23"/>
        <v>-6.3710000000000031</v>
      </c>
      <c r="H25" s="1">
        <f t="shared" si="23"/>
        <v>2.5650000000000066</v>
      </c>
      <c r="I25" s="1">
        <f t="shared" si="23"/>
        <v>-17.644000000000016</v>
      </c>
      <c r="J25" s="1">
        <f t="shared" si="23"/>
        <v>17.805999999999997</v>
      </c>
      <c r="K25" s="1">
        <f t="shared" si="23"/>
        <v>32.062000000000005</v>
      </c>
      <c r="L25" s="1">
        <f t="shared" si="23"/>
        <v>35.908999999999999</v>
      </c>
      <c r="M25" s="1">
        <f t="shared" ref="M25" si="24">+M23-M24</f>
        <v>35.908999999999999</v>
      </c>
      <c r="N25" s="1"/>
      <c r="U25" s="1">
        <f>+U23-U24</f>
        <v>-65.331919999999997</v>
      </c>
      <c r="V25" s="1">
        <f>+V23-V24</f>
        <v>-28.239000000000026</v>
      </c>
      <c r="W25" s="1">
        <f>+W23-W24</f>
        <v>103.51926</v>
      </c>
      <c r="X25" s="1">
        <v>170</v>
      </c>
      <c r="Y25" s="1">
        <v>230</v>
      </c>
      <c r="Z25" s="1">
        <f t="shared" ref="Z25:AC25" si="25">+Z23-Z24</f>
        <v>290.75369725149994</v>
      </c>
      <c r="AA25" s="1">
        <f t="shared" si="25"/>
        <v>394.56092621579955</v>
      </c>
      <c r="AB25" s="1">
        <f t="shared" si="25"/>
        <v>521.39383715158237</v>
      </c>
      <c r="AC25" s="1">
        <f t="shared" si="25"/>
        <v>675.97047341400423</v>
      </c>
      <c r="AD25" s="1">
        <f>+AC25*0.99</f>
        <v>669.21076867986415</v>
      </c>
      <c r="AE25" s="1">
        <f t="shared" ref="AE25:BC25" si="26">+AD25*0.99</f>
        <v>662.51866099306551</v>
      </c>
      <c r="AF25" s="1">
        <f t="shared" si="26"/>
        <v>655.89347438313484</v>
      </c>
      <c r="AG25" s="1">
        <f t="shared" si="26"/>
        <v>649.33453963930344</v>
      </c>
      <c r="AH25" s="1">
        <f t="shared" si="26"/>
        <v>642.84119424291043</v>
      </c>
      <c r="AI25" s="1">
        <f t="shared" si="26"/>
        <v>636.41278230048135</v>
      </c>
      <c r="AJ25" s="1">
        <f t="shared" si="26"/>
        <v>630.04865447747659</v>
      </c>
      <c r="AK25" s="1">
        <f t="shared" si="26"/>
        <v>623.74816793270179</v>
      </c>
      <c r="AL25" s="1">
        <f t="shared" si="26"/>
        <v>617.51068625337473</v>
      </c>
      <c r="AM25" s="1">
        <f t="shared" si="26"/>
        <v>611.33557939084096</v>
      </c>
      <c r="AN25" s="1">
        <f t="shared" si="26"/>
        <v>605.22222359693251</v>
      </c>
      <c r="AO25" s="1">
        <f t="shared" si="26"/>
        <v>599.17000136096317</v>
      </c>
      <c r="AP25" s="1">
        <f t="shared" si="26"/>
        <v>593.17830134735357</v>
      </c>
      <c r="AQ25" s="1">
        <f t="shared" si="26"/>
        <v>587.24651833387998</v>
      </c>
      <c r="AR25" s="1">
        <f t="shared" si="26"/>
        <v>581.37405315054116</v>
      </c>
      <c r="AS25" s="1">
        <f t="shared" si="26"/>
        <v>575.5603126190357</v>
      </c>
      <c r="AT25" s="1">
        <f t="shared" si="26"/>
        <v>569.80470949284529</v>
      </c>
      <c r="AU25" s="1">
        <f t="shared" si="26"/>
        <v>564.10666239791681</v>
      </c>
      <c r="AV25" s="1">
        <f t="shared" si="26"/>
        <v>558.46559577393759</v>
      </c>
      <c r="AW25" s="1">
        <f t="shared" si="26"/>
        <v>552.88093981619818</v>
      </c>
      <c r="AX25" s="1">
        <f t="shared" si="26"/>
        <v>547.35213041803615</v>
      </c>
      <c r="AY25" s="1">
        <f t="shared" si="26"/>
        <v>541.87860911385576</v>
      </c>
      <c r="AZ25" s="1">
        <f t="shared" si="26"/>
        <v>536.45982302271716</v>
      </c>
      <c r="BA25" s="1">
        <f t="shared" si="26"/>
        <v>531.09522479248994</v>
      </c>
      <c r="BB25" s="1">
        <f t="shared" si="26"/>
        <v>525.78427254456506</v>
      </c>
      <c r="BC25" s="1">
        <f t="shared" si="26"/>
        <v>520.52642981911936</v>
      </c>
    </row>
    <row r="26" spans="1:55" x14ac:dyDescent="0.25">
      <c r="A26" t="s">
        <v>36</v>
      </c>
      <c r="B26" s="8">
        <f t="shared" ref="B26:L26" si="27">+B25/B27</f>
        <v>-0.12765659030688564</v>
      </c>
      <c r="C26" s="8">
        <f t="shared" si="27"/>
        <v>-7.0091677234368724E-2</v>
      </c>
      <c r="D26" s="8">
        <f t="shared" si="27"/>
        <v>-7.5807437507319872E-2</v>
      </c>
      <c r="E26" s="8">
        <f t="shared" si="27"/>
        <v>-5.9015802480366253E-2</v>
      </c>
      <c r="F26" s="8">
        <f t="shared" si="27"/>
        <v>-3.0591864024143656E-2</v>
      </c>
      <c r="G26" s="8">
        <f t="shared" si="27"/>
        <v>-2.8610176798408514E-2</v>
      </c>
      <c r="H26" s="8">
        <f t="shared" si="27"/>
        <v>1.0934855544803094E-2</v>
      </c>
      <c r="I26" s="8">
        <f t="shared" si="27"/>
        <v>-7.9505501376048157E-2</v>
      </c>
      <c r="J26" s="8">
        <f t="shared" si="27"/>
        <v>7.7797976638297864E-2</v>
      </c>
      <c r="K26" s="8">
        <f t="shared" si="27"/>
        <v>0.13795032205045243</v>
      </c>
      <c r="L26" s="8">
        <f t="shared" si="27"/>
        <v>0.15308371452566599</v>
      </c>
      <c r="M26" s="8">
        <f t="shared" ref="M26" si="28">+M25/M27</f>
        <v>0.15310304992838447</v>
      </c>
      <c r="N26" s="1"/>
      <c r="U26" s="8">
        <f>+U25/U27</f>
        <v>-0.33227462583330042</v>
      </c>
      <c r="V26" s="8">
        <f>+V25/V27</f>
        <v>-0.1253538046659769</v>
      </c>
      <c r="W26" s="8">
        <f>+W25/W27</f>
        <v>0.45952523450570004</v>
      </c>
      <c r="X26" s="8">
        <f t="shared" ref="X26:AC26" si="29">+X25/X27</f>
        <v>0.75463531970735687</v>
      </c>
      <c r="Y26" s="8">
        <f t="shared" si="29"/>
        <v>1.0209771972511299</v>
      </c>
      <c r="Z26" s="8">
        <f t="shared" si="29"/>
        <v>1.2906647604793042</v>
      </c>
      <c r="AA26" s="8">
        <f t="shared" si="29"/>
        <v>1.751468298228769</v>
      </c>
      <c r="AB26" s="8">
        <f t="shared" si="29"/>
        <v>2.3144835587784116</v>
      </c>
      <c r="AC26" s="8">
        <f t="shared" si="29"/>
        <v>3.0006540842206499</v>
      </c>
      <c r="AD26" s="1"/>
      <c r="AE26" s="1"/>
      <c r="AF26" s="1"/>
      <c r="AG26" s="1"/>
      <c r="AH26" s="1"/>
    </row>
    <row r="27" spans="1:55" x14ac:dyDescent="0.25">
      <c r="A27" t="s">
        <v>2</v>
      </c>
      <c r="B27" s="1">
        <v>195.87100000000001</v>
      </c>
      <c r="C27" s="1">
        <v>196.35300000000001</v>
      </c>
      <c r="D27" s="1">
        <v>196.38300000000001</v>
      </c>
      <c r="E27" s="1">
        <v>197.874</v>
      </c>
      <c r="F27" s="1">
        <v>221.92175</v>
      </c>
      <c r="G27" s="1">
        <v>222.68299999999999</v>
      </c>
      <c r="H27" s="1">
        <v>234.571</v>
      </c>
      <c r="I27" s="1">
        <v>221.92175</v>
      </c>
      <c r="J27" s="1">
        <v>228.87484699999999</v>
      </c>
      <c r="K27" s="1">
        <v>232.417</v>
      </c>
      <c r="L27" s="1">
        <v>234.571</v>
      </c>
      <c r="M27" s="1">
        <v>234.54137600000001</v>
      </c>
      <c r="N27" s="1"/>
      <c r="U27" s="1">
        <f>+AVERAGE(B27:E27)</f>
        <v>196.62025000000003</v>
      </c>
      <c r="V27" s="1">
        <f>+AVERAGE(F27:I27)</f>
        <v>225.27437499999999</v>
      </c>
      <c r="W27" s="1">
        <f>+V27</f>
        <v>225.27437499999999</v>
      </c>
      <c r="X27" s="1">
        <f t="shared" ref="X27:AC27" si="30">+W27</f>
        <v>225.27437499999999</v>
      </c>
      <c r="Y27" s="1">
        <f t="shared" si="30"/>
        <v>225.27437499999999</v>
      </c>
      <c r="Z27" s="1">
        <f t="shared" si="30"/>
        <v>225.27437499999999</v>
      </c>
      <c r="AA27" s="1">
        <f t="shared" si="30"/>
        <v>225.27437499999999</v>
      </c>
      <c r="AB27" s="1">
        <f t="shared" si="30"/>
        <v>225.27437499999999</v>
      </c>
      <c r="AC27" s="1">
        <f t="shared" si="30"/>
        <v>225.27437499999999</v>
      </c>
      <c r="AD27" s="1"/>
      <c r="AE27" s="1"/>
      <c r="AF27" s="1"/>
      <c r="AG27" s="1"/>
      <c r="AH27" s="1"/>
    </row>
    <row r="28" spans="1:55" x14ac:dyDescent="0.25">
      <c r="E28" t="s">
        <v>23</v>
      </c>
      <c r="O28" t="s">
        <v>23</v>
      </c>
    </row>
    <row r="29" spans="1:55" x14ac:dyDescent="0.25">
      <c r="A29" t="s">
        <v>37</v>
      </c>
      <c r="B29" s="3"/>
      <c r="C29" s="3"/>
      <c r="D29" s="3"/>
      <c r="E29" s="3"/>
      <c r="F29" s="3">
        <f t="shared" ref="F29:M29" si="31">+F13/B13-1</f>
        <v>0.95562557271302739</v>
      </c>
      <c r="G29" s="3">
        <f t="shared" si="31"/>
        <v>0.77329345030024865</v>
      </c>
      <c r="H29" s="3">
        <f t="shared" si="31"/>
        <v>0.63727130891268446</v>
      </c>
      <c r="I29" s="3">
        <f t="shared" si="31"/>
        <v>0.47862560090760753</v>
      </c>
      <c r="J29" s="3">
        <f t="shared" si="31"/>
        <v>0.43857398882524512</v>
      </c>
      <c r="K29" s="3">
        <f t="shared" si="31"/>
        <v>0.78286179997671446</v>
      </c>
      <c r="L29" s="3">
        <f t="shared" si="31"/>
        <v>0.78133036046079507</v>
      </c>
      <c r="M29" s="3">
        <f t="shared" si="31"/>
        <v>0.62157151942411049</v>
      </c>
      <c r="N29" s="3"/>
      <c r="U29" s="3" t="s">
        <v>23</v>
      </c>
      <c r="V29" s="3">
        <f>+V13/U13-1</f>
        <v>0.67587196095484092</v>
      </c>
      <c r="W29" s="3">
        <f t="shared" ref="W29:AC29" si="32">+W13/V13-1</f>
        <v>0.66041477063687237</v>
      </c>
      <c r="X29" s="3">
        <f t="shared" si="32"/>
        <v>0.14287313641706945</v>
      </c>
      <c r="Y29" s="3">
        <f t="shared" si="32"/>
        <v>0.23469387755102034</v>
      </c>
      <c r="Z29" s="3">
        <f t="shared" si="32"/>
        <v>0.10000000000000009</v>
      </c>
      <c r="AA29" s="3">
        <f t="shared" si="32"/>
        <v>0.19999999999999996</v>
      </c>
      <c r="AB29" s="3">
        <f t="shared" si="32"/>
        <v>0.19999999999999996</v>
      </c>
      <c r="AC29" s="3">
        <f t="shared" si="32"/>
        <v>0.19999999999999996</v>
      </c>
      <c r="AD29" s="3"/>
      <c r="AE29" s="3"/>
      <c r="AF29" s="3"/>
      <c r="AG29" s="3"/>
      <c r="AH29" s="3"/>
    </row>
    <row r="30" spans="1:55" x14ac:dyDescent="0.25">
      <c r="A30" t="s">
        <v>38</v>
      </c>
      <c r="B30" s="3"/>
      <c r="C30" s="3">
        <f t="shared" ref="C30:L30" si="33">+C13/B13-1</f>
        <v>0.16500189260738218</v>
      </c>
      <c r="D30" s="3">
        <f t="shared" si="33"/>
        <v>0.21191740384128765</v>
      </c>
      <c r="E30" s="3">
        <f t="shared" si="33"/>
        <v>0.21638426099304486</v>
      </c>
      <c r="F30" s="3">
        <f t="shared" si="33"/>
        <v>0.1387155792059267</v>
      </c>
      <c r="G30" s="3">
        <f t="shared" si="33"/>
        <v>5.6383315177285009E-2</v>
      </c>
      <c r="H30" s="3">
        <f t="shared" si="33"/>
        <v>0.11895613991317822</v>
      </c>
      <c r="I30" s="3">
        <f t="shared" si="33"/>
        <v>9.8520995912299902E-2</v>
      </c>
      <c r="J30" s="3">
        <f t="shared" si="33"/>
        <v>0.10787112837097301</v>
      </c>
      <c r="K30" s="3">
        <f t="shared" si="33"/>
        <v>0.30920305343511445</v>
      </c>
      <c r="L30" s="3">
        <f t="shared" si="33"/>
        <v>0.11799498092190563</v>
      </c>
      <c r="M30" s="3">
        <f>+M13/J13-1</f>
        <v>0.46368244274809167</v>
      </c>
      <c r="N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55" x14ac:dyDescent="0.25">
      <c r="A31" t="s">
        <v>39</v>
      </c>
      <c r="B31" s="3">
        <f t="shared" ref="B31:L31" si="34">+B15/B13</f>
        <v>0.12582018140717355</v>
      </c>
      <c r="C31" s="3">
        <f t="shared" si="34"/>
        <v>0.2291631434958834</v>
      </c>
      <c r="D31" s="3">
        <f t="shared" si="34"/>
        <v>0.23501525004753018</v>
      </c>
      <c r="E31" s="3">
        <f t="shared" si="34"/>
        <v>0.28362597404033812</v>
      </c>
      <c r="F31" s="3">
        <f t="shared" si="34"/>
        <v>0.29013950873247352</v>
      </c>
      <c r="G31" s="3">
        <f t="shared" si="34"/>
        <v>0.2775975916038787</v>
      </c>
      <c r="H31" s="3">
        <f t="shared" si="34"/>
        <v>0.36645113340765523</v>
      </c>
      <c r="I31" s="3">
        <f t="shared" si="34"/>
        <v>0.42063245064476412</v>
      </c>
      <c r="J31" s="3">
        <f t="shared" si="34"/>
        <v>0.47765496183206102</v>
      </c>
      <c r="K31" s="3">
        <f t="shared" si="34"/>
        <v>0.53598716310137984</v>
      </c>
      <c r="L31" s="3">
        <f t="shared" si="34"/>
        <v>0.49782625021904386</v>
      </c>
      <c r="M31" s="3">
        <f t="shared" ref="M31" si="35">+M15/M13</f>
        <v>0.49782625021904386</v>
      </c>
      <c r="N31" s="3"/>
      <c r="O31" t="s">
        <v>40</v>
      </c>
      <c r="P31" s="3">
        <v>0.1</v>
      </c>
      <c r="U31" s="3">
        <f t="shared" ref="U31:V31" si="36">+U15/U13</f>
        <v>0.22887109126546301</v>
      </c>
      <c r="V31" s="3">
        <f t="shared" si="36"/>
        <v>0.3444493929477373</v>
      </c>
      <c r="W31" s="3">
        <f t="shared" ref="W31:AC31" si="37">+W15/W13</f>
        <v>0.5</v>
      </c>
      <c r="X31" s="3">
        <f t="shared" si="37"/>
        <v>0.54386071428571425</v>
      </c>
      <c r="Y31" s="3">
        <f t="shared" si="37"/>
        <v>0.6120931198347106</v>
      </c>
      <c r="Z31" s="3">
        <f t="shared" si="37"/>
        <v>0.62972525075131469</v>
      </c>
      <c r="AA31" s="3">
        <f t="shared" si="37"/>
        <v>0.67600959440740038</v>
      </c>
      <c r="AB31" s="3">
        <f t="shared" si="37"/>
        <v>0.71650839510647535</v>
      </c>
      <c r="AC31" s="3">
        <f t="shared" si="37"/>
        <v>0.75194484571816589</v>
      </c>
      <c r="AD31" s="3"/>
      <c r="AE31" s="3"/>
      <c r="AF31" s="3"/>
      <c r="AG31" s="3"/>
      <c r="AH31" s="3"/>
    </row>
    <row r="32" spans="1:55" x14ac:dyDescent="0.25">
      <c r="A32" t="s">
        <v>41</v>
      </c>
      <c r="B32" s="3">
        <f t="shared" ref="B32:L32" si="38">+B16/B13</f>
        <v>2.1441303675245615E-2</v>
      </c>
      <c r="C32" s="3">
        <f t="shared" si="38"/>
        <v>2.5748635000118376E-2</v>
      </c>
      <c r="D32" s="3">
        <f t="shared" si="38"/>
        <v>2.5334811335237521E-2</v>
      </c>
      <c r="E32" s="3">
        <f t="shared" si="38"/>
        <v>2.1508227284084257E-2</v>
      </c>
      <c r="F32" s="3">
        <f t="shared" si="38"/>
        <v>1.5022665776434621E-2</v>
      </c>
      <c r="G32" s="3">
        <f t="shared" si="38"/>
        <v>2.3335495567420123E-2</v>
      </c>
      <c r="H32" s="3">
        <f t="shared" si="38"/>
        <v>8.859160163507988E-3</v>
      </c>
      <c r="I32" s="3">
        <f t="shared" si="38"/>
        <v>6.0349376885918005E-3</v>
      </c>
      <c r="J32" s="3">
        <f t="shared" si="38"/>
        <v>5.4961832061068703E-3</v>
      </c>
      <c r="K32" s="3">
        <f t="shared" si="38"/>
        <v>5.2243192059034807E-3</v>
      </c>
      <c r="L32" s="3">
        <f t="shared" si="38"/>
        <v>3.4379459107636077E-3</v>
      </c>
      <c r="M32" s="3">
        <f t="shared" ref="M32" si="39">+M16/M13</f>
        <v>3.4379459107636077E-3</v>
      </c>
      <c r="N32" s="3"/>
      <c r="O32" t="s">
        <v>42</v>
      </c>
      <c r="P32" s="4">
        <f>+NPV(P31,W25:BA25)-main!L5+main!L6</f>
        <v>5976.4309949111012</v>
      </c>
      <c r="U32" s="3">
        <f t="shared" ref="U32:V32" si="40">+U16/U13</f>
        <v>2.3449162112696167E-2</v>
      </c>
      <c r="V32" s="3">
        <f t="shared" si="40"/>
        <v>1.2780047634723003E-2</v>
      </c>
      <c r="W32" s="3">
        <f t="shared" ref="W32:AC32" si="41">+W16/W13</f>
        <v>4.277610882018174E-3</v>
      </c>
      <c r="X32" s="3">
        <f t="shared" si="41"/>
        <v>3.7428571428571424E-3</v>
      </c>
      <c r="Y32" s="3">
        <f t="shared" si="41"/>
        <v>3.0314049586776855E-3</v>
      </c>
      <c r="Z32" s="3">
        <f t="shared" si="41"/>
        <v>2.7558226897069871E-3</v>
      </c>
      <c r="AA32" s="3">
        <f t="shared" si="41"/>
        <v>2.296518908089156E-3</v>
      </c>
      <c r="AB32" s="3">
        <f t="shared" si="41"/>
        <v>1.9137657567409633E-3</v>
      </c>
      <c r="AC32" s="3">
        <f t="shared" si="41"/>
        <v>1.5948047972841361E-3</v>
      </c>
      <c r="AD32" s="3"/>
      <c r="AE32" s="3"/>
      <c r="AF32" s="3"/>
      <c r="AG32" s="3"/>
      <c r="AH32" s="3"/>
    </row>
    <row r="33" spans="1:34" x14ac:dyDescent="0.25">
      <c r="A33" t="s">
        <v>43</v>
      </c>
      <c r="B33" s="3">
        <f t="shared" ref="B33:L33" si="42">+B17/B13</f>
        <v>0.13655086667536231</v>
      </c>
      <c r="C33" s="3">
        <f t="shared" si="42"/>
        <v>0.11564764929606432</v>
      </c>
      <c r="D33" s="3">
        <f t="shared" si="42"/>
        <v>0.11825345655900012</v>
      </c>
      <c r="E33" s="3">
        <f t="shared" si="42"/>
        <v>0.10181894758019049</v>
      </c>
      <c r="F33" s="3">
        <f t="shared" si="42"/>
        <v>3.1275257405910674E-2</v>
      </c>
      <c r="G33" s="3">
        <f t="shared" si="42"/>
        <v>2.2171215674533871E-2</v>
      </c>
      <c r="H33" s="3">
        <f t="shared" si="42"/>
        <v>6.9416573764399846E-3</v>
      </c>
      <c r="I33" s="3">
        <f t="shared" si="42"/>
        <v>9.2824377900761861E-3</v>
      </c>
      <c r="J33" s="3">
        <f t="shared" si="42"/>
        <v>1.2274809160305343E-2</v>
      </c>
      <c r="K33" s="3">
        <f t="shared" si="42"/>
        <v>8.788051235644783E-3</v>
      </c>
      <c r="L33" s="3">
        <f t="shared" si="42"/>
        <v>8.5197640167224351E-3</v>
      </c>
      <c r="M33" s="3">
        <f t="shared" ref="M33" si="43">+M17/M13</f>
        <v>8.5197640167224351E-3</v>
      </c>
      <c r="N33" s="3"/>
      <c r="O33" t="s">
        <v>44</v>
      </c>
      <c r="P33" s="5">
        <f>+P32/main!L3</f>
        <v>25.282053380225882</v>
      </c>
      <c r="U33" s="3">
        <f t="shared" ref="U33:V33" si="44">+U17/U13</f>
        <v>0.11580498189228831</v>
      </c>
      <c r="V33" s="3">
        <f t="shared" si="44"/>
        <v>1.6521116124160101E-2</v>
      </c>
      <c r="W33" s="3">
        <f t="shared" ref="W33:AC33" si="45">+W17/W13</f>
        <v>9.3039202880973258E-3</v>
      </c>
      <c r="X33" s="3">
        <f t="shared" si="45"/>
        <v>1.0583061224489796E-2</v>
      </c>
      <c r="Y33" s="3">
        <f t="shared" si="45"/>
        <v>1.1142826446280991E-2</v>
      </c>
      <c r="Z33" s="3">
        <f t="shared" si="45"/>
        <v>1.3168794891059354E-2</v>
      </c>
      <c r="AA33" s="3">
        <f t="shared" si="45"/>
        <v>1.4266194465314299E-2</v>
      </c>
      <c r="AB33" s="3">
        <f t="shared" si="45"/>
        <v>1.5455044004090493E-2</v>
      </c>
      <c r="AC33" s="3">
        <f t="shared" si="45"/>
        <v>1.6742964337764701E-2</v>
      </c>
      <c r="AD33" s="3"/>
      <c r="AE33" s="3"/>
      <c r="AF33" s="3"/>
      <c r="AG33" s="3"/>
      <c r="AH33" s="3"/>
    </row>
    <row r="34" spans="1:34" x14ac:dyDescent="0.25">
      <c r="A34" t="s">
        <v>45</v>
      </c>
      <c r="B34" s="3">
        <f t="shared" ref="B34:L34" si="46">+B19/B13</f>
        <v>0.47071221001152197</v>
      </c>
      <c r="C34" s="3">
        <f t="shared" si="46"/>
        <v>0.35304829433152002</v>
      </c>
      <c r="D34" s="3">
        <f t="shared" si="46"/>
        <v>0.31377687084074679</v>
      </c>
      <c r="E34" s="3">
        <f t="shared" si="46"/>
        <v>0.27802635008338117</v>
      </c>
      <c r="F34" s="3">
        <f t="shared" si="46"/>
        <v>0.25498119970481781</v>
      </c>
      <c r="G34" s="3">
        <f t="shared" si="46"/>
        <v>0.23698085591204696</v>
      </c>
      <c r="H34" s="3">
        <f t="shared" si="46"/>
        <v>0.21889260497956151</v>
      </c>
      <c r="I34" s="3">
        <f t="shared" si="46"/>
        <v>0.21019444406857651</v>
      </c>
      <c r="J34" s="3">
        <f t="shared" si="46"/>
        <v>0.19101068702290075</v>
      </c>
      <c r="K34" s="3">
        <f t="shared" si="46"/>
        <v>0.15493838102079466</v>
      </c>
      <c r="L34" s="3">
        <f t="shared" si="46"/>
        <v>0.15487445656255475</v>
      </c>
      <c r="M34" s="3">
        <f t="shared" ref="M34" si="47">+M19/M13</f>
        <v>0.15487445656255475</v>
      </c>
      <c r="N34" s="3"/>
      <c r="P34" s="3">
        <f>+P33/main!L2-1</f>
        <v>0.59006625032867177</v>
      </c>
      <c r="U34" s="3">
        <f t="shared" ref="U34:V34" si="48">+U19/U13</f>
        <v>0.34046392087124699</v>
      </c>
      <c r="V34" s="3">
        <f t="shared" si="48"/>
        <v>0.22856921557616719</v>
      </c>
      <c r="W34" s="3">
        <f t="shared" ref="W34:AC34" si="49">+W19/W13</f>
        <v>0.16179118541600584</v>
      </c>
      <c r="X34" s="3">
        <f t="shared" si="49"/>
        <v>0.15</v>
      </c>
      <c r="Y34" s="3">
        <f t="shared" si="49"/>
        <v>0.15</v>
      </c>
      <c r="Z34" s="3">
        <f t="shared" si="49"/>
        <v>0.15</v>
      </c>
      <c r="AA34" s="3">
        <f t="shared" si="49"/>
        <v>0.15</v>
      </c>
      <c r="AB34" s="3">
        <f t="shared" si="49"/>
        <v>0.15</v>
      </c>
      <c r="AC34" s="3">
        <f t="shared" si="49"/>
        <v>0.15</v>
      </c>
      <c r="AD34" s="3"/>
      <c r="AE34" s="3"/>
      <c r="AF34" s="3"/>
      <c r="AG34" s="3"/>
      <c r="AH34" s="3"/>
    </row>
    <row r="35" spans="1:34" x14ac:dyDescent="0.25">
      <c r="A35" t="s">
        <v>46</v>
      </c>
      <c r="B35" s="3"/>
      <c r="C35" s="3"/>
      <c r="D35" s="3"/>
      <c r="E35" s="3"/>
      <c r="F35" s="3">
        <f t="shared" ref="F35:M35" si="50">+F20/B20-1</f>
        <v>-6.2192151556156983E-2</v>
      </c>
      <c r="G35" s="3">
        <f t="shared" si="50"/>
        <v>1.3044504781017485E-2</v>
      </c>
      <c r="H35" s="3">
        <f t="shared" si="50"/>
        <v>-0.15829423857466662</v>
      </c>
      <c r="I35" s="3">
        <f t="shared" si="50"/>
        <v>-0.1673975548966512</v>
      </c>
      <c r="J35" s="3">
        <f t="shared" si="50"/>
        <v>-2.2509523259841568E-3</v>
      </c>
      <c r="K35" s="3">
        <f t="shared" si="50"/>
        <v>6.3450445726271454E-2</v>
      </c>
      <c r="L35" s="3">
        <f t="shared" si="50"/>
        <v>0.25382014028056088</v>
      </c>
      <c r="M35" s="3">
        <f t="shared" si="50"/>
        <v>0.18797840147154754</v>
      </c>
      <c r="N35" s="3"/>
      <c r="T35" t="s">
        <v>23</v>
      </c>
      <c r="U35" s="3" t="s">
        <v>23</v>
      </c>
      <c r="V35" s="3">
        <f>+V20/U20-1</f>
        <v>-9.8076061305261364E-2</v>
      </c>
      <c r="W35" s="3">
        <f t="shared" ref="W35:AC35" si="51">+W20/V20-1</f>
        <v>0.12287921556975201</v>
      </c>
      <c r="X35" s="3">
        <f t="shared" si="51"/>
        <v>0</v>
      </c>
      <c r="Y35" s="3">
        <f t="shared" si="51"/>
        <v>0</v>
      </c>
      <c r="Z35" s="3">
        <f t="shared" si="51"/>
        <v>0</v>
      </c>
      <c r="AA35" s="3">
        <f t="shared" si="51"/>
        <v>0</v>
      </c>
      <c r="AB35" s="3">
        <f t="shared" si="51"/>
        <v>0</v>
      </c>
      <c r="AC35" s="3">
        <f t="shared" si="51"/>
        <v>0</v>
      </c>
      <c r="AD35" s="3"/>
      <c r="AE35" s="3"/>
      <c r="AF35" s="3"/>
      <c r="AG35" s="3"/>
      <c r="AH35" s="3"/>
    </row>
    <row r="36" spans="1:34" x14ac:dyDescent="0.25">
      <c r="A36" t="s">
        <v>47</v>
      </c>
      <c r="B36" s="3">
        <f t="shared" ref="B36:L36" si="52">+B24/B23</f>
        <v>0</v>
      </c>
      <c r="C36" s="3">
        <f t="shared" si="52"/>
        <v>0</v>
      </c>
      <c r="D36" s="3">
        <f t="shared" si="52"/>
        <v>0</v>
      </c>
      <c r="E36" s="3">
        <f t="shared" si="52"/>
        <v>0</v>
      </c>
      <c r="F36" s="3">
        <f t="shared" si="52"/>
        <v>0</v>
      </c>
      <c r="G36" s="3">
        <f t="shared" si="52"/>
        <v>0</v>
      </c>
      <c r="H36" s="3">
        <f t="shared" si="52"/>
        <v>0</v>
      </c>
      <c r="I36" s="3">
        <f t="shared" si="52"/>
        <v>0</v>
      </c>
      <c r="J36" s="3">
        <f t="shared" si="52"/>
        <v>3.233519917395794E-2</v>
      </c>
      <c r="K36" s="3">
        <f t="shared" si="52"/>
        <v>0.1056874285236116</v>
      </c>
      <c r="L36" s="3">
        <f t="shared" si="52"/>
        <v>2.2857764837138424E-2</v>
      </c>
      <c r="M36" s="3">
        <f t="shared" ref="M36" si="53">+M24/M23</f>
        <v>2.2857764837138424E-2</v>
      </c>
      <c r="N36" s="3"/>
      <c r="U36" s="3">
        <f t="shared" ref="U36:V36" si="54">+U24/U23</f>
        <v>0</v>
      </c>
      <c r="V36" s="3">
        <f t="shared" si="54"/>
        <v>0</v>
      </c>
      <c r="W36" s="3">
        <f t="shared" ref="W36:AC36" si="55">+W24/W23</f>
        <v>0.18</v>
      </c>
      <c r="X36" s="3">
        <f t="shared" si="55"/>
        <v>0.18</v>
      </c>
      <c r="Y36" s="3">
        <f t="shared" si="55"/>
        <v>0.18</v>
      </c>
      <c r="Z36" s="3">
        <f t="shared" si="55"/>
        <v>0.18</v>
      </c>
      <c r="AA36" s="3">
        <f t="shared" si="55"/>
        <v>0.18</v>
      </c>
      <c r="AB36" s="3">
        <f t="shared" si="55"/>
        <v>0.18</v>
      </c>
      <c r="AC36" s="3">
        <f t="shared" si="55"/>
        <v>0.18</v>
      </c>
      <c r="AD36" s="3"/>
      <c r="AE36" s="3"/>
      <c r="AF36" s="3"/>
      <c r="AG36" s="3"/>
      <c r="AH36" s="3"/>
    </row>
    <row r="37" spans="1:34" x14ac:dyDescent="0.25">
      <c r="A37" t="s">
        <v>48</v>
      </c>
      <c r="B37" s="3" t="s">
        <v>23</v>
      </c>
      <c r="C37" s="3">
        <f t="shared" ref="C37:M37" si="56">+C25/B25-1</f>
        <v>-0.44958455419372334</v>
      </c>
      <c r="D37" s="3">
        <f t="shared" si="56"/>
        <v>8.1712163528594006E-2</v>
      </c>
      <c r="E37" s="3">
        <f t="shared" si="56"/>
        <v>-0.21559321198240811</v>
      </c>
      <c r="F37" s="3">
        <f t="shared" si="56"/>
        <v>-0.41863516551287216</v>
      </c>
      <c r="G37" s="3">
        <f t="shared" si="56"/>
        <v>-6.1570187067314652E-2</v>
      </c>
      <c r="H37" s="3">
        <f t="shared" si="56"/>
        <v>-1.4026055564275632</v>
      </c>
      <c r="I37" s="3">
        <f t="shared" si="56"/>
        <v>-7.8787524366471624</v>
      </c>
      <c r="J37" s="3">
        <f t="shared" si="56"/>
        <v>-2.0091815914758548</v>
      </c>
      <c r="K37" s="3">
        <f t="shared" si="56"/>
        <v>0.80062900146018245</v>
      </c>
      <c r="L37" s="3">
        <f t="shared" si="56"/>
        <v>0.11998627658910843</v>
      </c>
      <c r="M37" s="3">
        <f t="shared" si="56"/>
        <v>0</v>
      </c>
      <c r="N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5">
      <c r="A38" t="s">
        <v>49</v>
      </c>
      <c r="G38" s="3">
        <f t="shared" ref="G38:L38" si="57">+G25/C25</f>
        <v>0.46291751339603443</v>
      </c>
      <c r="H38" s="3">
        <f t="shared" si="57"/>
        <v>-0.17229459864158014</v>
      </c>
      <c r="I38" s="3">
        <f t="shared" si="57"/>
        <v>1.5109148828532757</v>
      </c>
      <c r="J38" s="3">
        <f t="shared" si="57"/>
        <v>-2.6227721313890102</v>
      </c>
      <c r="K38" s="3">
        <f t="shared" si="57"/>
        <v>-5.0324909747292406</v>
      </c>
      <c r="L38" s="3">
        <f t="shared" si="57"/>
        <v>13.999610136452205</v>
      </c>
      <c r="M38" s="3">
        <f>+M25/I25</f>
        <v>-2.0351961006574455</v>
      </c>
      <c r="V38" s="3">
        <f>+V25/U25-1</f>
        <v>-0.5677610576881863</v>
      </c>
      <c r="W38" s="3">
        <f t="shared" ref="W38:AC38" si="58">+W25/V25-1</f>
        <v>-4.6658259853394206</v>
      </c>
      <c r="X38" s="3">
        <f t="shared" si="58"/>
        <v>0.64220648408808167</v>
      </c>
      <c r="Y38" s="3">
        <f t="shared" si="58"/>
        <v>0.35294117647058831</v>
      </c>
      <c r="Z38" s="3">
        <f t="shared" si="58"/>
        <v>0.26414650978913023</v>
      </c>
      <c r="AA38" s="3">
        <f t="shared" si="58"/>
        <v>0.35702806170855705</v>
      </c>
      <c r="AB38" s="3">
        <f t="shared" si="58"/>
        <v>0.32145329785244203</v>
      </c>
      <c r="AC38" s="3">
        <f t="shared" si="58"/>
        <v>0.29646809234816973</v>
      </c>
      <c r="AD38" s="3"/>
      <c r="AE38" s="3"/>
      <c r="AF38" s="3"/>
      <c r="AG38" s="3"/>
      <c r="AH38" s="3"/>
    </row>
    <row r="40" spans="1:34" x14ac:dyDescent="0.25">
      <c r="A40" t="s">
        <v>50</v>
      </c>
      <c r="L40">
        <f>86.707-27.535-8.865</f>
        <v>50.306999999999995</v>
      </c>
      <c r="M40">
        <f>86.707-1.193-1.688</f>
        <v>83.825999999999993</v>
      </c>
      <c r="V40">
        <f>86.707-27.535-8.865</f>
        <v>50.306999999999995</v>
      </c>
      <c r="W40">
        <f t="shared" ref="W40:AC40" si="59">+V40+W25</f>
        <v>153.82625999999999</v>
      </c>
      <c r="X40">
        <f t="shared" si="59"/>
        <v>323.82625999999999</v>
      </c>
      <c r="Y40">
        <f t="shared" si="59"/>
        <v>553.82626000000005</v>
      </c>
      <c r="Z40">
        <f t="shared" si="59"/>
        <v>844.57995725149999</v>
      </c>
      <c r="AA40">
        <f t="shared" si="59"/>
        <v>1239.1408834672995</v>
      </c>
      <c r="AB40">
        <f t="shared" si="59"/>
        <v>1760.5347206188819</v>
      </c>
      <c r="AC40">
        <f t="shared" si="59"/>
        <v>2436.5051940328863</v>
      </c>
    </row>
    <row r="41" spans="1:34" x14ac:dyDescent="0.25">
      <c r="A41" t="s">
        <v>51</v>
      </c>
      <c r="L41">
        <v>50.14</v>
      </c>
      <c r="M41">
        <v>49.999000000000002</v>
      </c>
    </row>
    <row r="42" spans="1:34" x14ac:dyDescent="0.25">
      <c r="A42" t="s">
        <v>52</v>
      </c>
      <c r="L42">
        <v>171.80099999999999</v>
      </c>
      <c r="M42">
        <v>170.23500000000001</v>
      </c>
    </row>
    <row r="43" spans="1:34" x14ac:dyDescent="0.25">
      <c r="A43" t="s">
        <v>53</v>
      </c>
      <c r="L43">
        <v>9.5449999999999999</v>
      </c>
      <c r="M43">
        <v>8.0289999999999999</v>
      </c>
    </row>
    <row r="44" spans="1:34" x14ac:dyDescent="0.25">
      <c r="A44" t="s">
        <v>54</v>
      </c>
      <c r="L44">
        <v>53.694000000000003</v>
      </c>
      <c r="V44" t="s">
        <v>23</v>
      </c>
    </row>
    <row r="45" spans="1:34" x14ac:dyDescent="0.25">
      <c r="A45" t="s">
        <v>55</v>
      </c>
      <c r="L45">
        <f>0.485+3.53</f>
        <v>4.0149999999999997</v>
      </c>
    </row>
    <row r="46" spans="1:34" x14ac:dyDescent="0.25">
      <c r="A46" t="s">
        <v>56</v>
      </c>
      <c r="L46">
        <v>8.8970000000000002</v>
      </c>
    </row>
    <row r="47" spans="1:34" x14ac:dyDescent="0.25">
      <c r="A47" t="s">
        <v>57</v>
      </c>
      <c r="L47">
        <v>5.819</v>
      </c>
      <c r="Q47" t="s">
        <v>23</v>
      </c>
    </row>
    <row r="48" spans="1:34" x14ac:dyDescent="0.25">
      <c r="A48" t="s">
        <v>58</v>
      </c>
      <c r="L48">
        <f>+SUM(L41:L47)</f>
        <v>303.91099999999994</v>
      </c>
      <c r="V48" s="7"/>
    </row>
    <row r="50" spans="1:22" x14ac:dyDescent="0.25">
      <c r="A50" t="s">
        <v>5</v>
      </c>
      <c r="L50">
        <f>27.535+8.865</f>
        <v>36.4</v>
      </c>
      <c r="V50">
        <v>0.41899999999999998</v>
      </c>
    </row>
    <row r="51" spans="1:22" x14ac:dyDescent="0.25">
      <c r="A51" t="s">
        <v>59</v>
      </c>
      <c r="L51">
        <v>16.02</v>
      </c>
    </row>
    <row r="52" spans="1:22" x14ac:dyDescent="0.25">
      <c r="A52" t="s">
        <v>60</v>
      </c>
      <c r="L52">
        <f>0.143+1.583</f>
        <v>1.726</v>
      </c>
    </row>
    <row r="53" spans="1:22" x14ac:dyDescent="0.25">
      <c r="A53" t="s">
        <v>61</v>
      </c>
      <c r="L53">
        <v>1.1930000000000001</v>
      </c>
    </row>
    <row r="54" spans="1:22" x14ac:dyDescent="0.25">
      <c r="A54" t="s">
        <v>62</v>
      </c>
      <c r="L54">
        <v>101.32599999999999</v>
      </c>
    </row>
    <row r="55" spans="1:22" x14ac:dyDescent="0.25">
      <c r="A55" t="s">
        <v>63</v>
      </c>
      <c r="L55">
        <v>1.6879999999999999</v>
      </c>
    </row>
    <row r="56" spans="1:22" x14ac:dyDescent="0.25">
      <c r="A56" t="s">
        <v>64</v>
      </c>
      <c r="L56">
        <v>0.375</v>
      </c>
    </row>
    <row r="57" spans="1:22" x14ac:dyDescent="0.25">
      <c r="A57" t="s">
        <v>65</v>
      </c>
      <c r="L57">
        <f>+SUM(L50:L56)</f>
        <v>158.72799999999998</v>
      </c>
    </row>
    <row r="59" spans="1:22" x14ac:dyDescent="0.25">
      <c r="A59" t="s">
        <v>66</v>
      </c>
      <c r="L59">
        <f>+L48-L57</f>
        <v>145.18299999999996</v>
      </c>
    </row>
    <row r="60" spans="1:22" x14ac:dyDescent="0.25">
      <c r="A60" t="s">
        <v>67</v>
      </c>
      <c r="L60">
        <f>+L57+L59</f>
        <v>303.91099999999994</v>
      </c>
      <c r="R60">
        <v>88.9</v>
      </c>
      <c r="S60">
        <v>127.1</v>
      </c>
      <c r="T60">
        <v>276.3</v>
      </c>
      <c r="U60">
        <v>348.5</v>
      </c>
      <c r="V60">
        <v>329.2</v>
      </c>
    </row>
    <row r="61" spans="1:22" x14ac:dyDescent="0.25">
      <c r="S61" t="s">
        <v>23</v>
      </c>
    </row>
    <row r="62" spans="1:22" x14ac:dyDescent="0.25">
      <c r="A62" t="s">
        <v>68</v>
      </c>
      <c r="L62" s="3">
        <f>+L25/L48</f>
        <v>0.1181563023385136</v>
      </c>
    </row>
    <row r="63" spans="1:22" x14ac:dyDescent="0.25">
      <c r="A63" t="s">
        <v>69</v>
      </c>
      <c r="L63" s="3">
        <f>+L25/L59</f>
        <v>0.24733612062018287</v>
      </c>
    </row>
    <row r="66" spans="1:23" x14ac:dyDescent="0.25">
      <c r="A66" t="s">
        <v>70</v>
      </c>
    </row>
    <row r="67" spans="1:23" x14ac:dyDescent="0.25">
      <c r="A67" t="s">
        <v>71</v>
      </c>
      <c r="L67">
        <v>85.777000000000001</v>
      </c>
    </row>
    <row r="68" spans="1:23" x14ac:dyDescent="0.25">
      <c r="A68" t="s">
        <v>72</v>
      </c>
    </row>
    <row r="69" spans="1:23" x14ac:dyDescent="0.25">
      <c r="A69" t="s">
        <v>73</v>
      </c>
    </row>
    <row r="70" spans="1:23" x14ac:dyDescent="0.25">
      <c r="A70" t="s">
        <v>74</v>
      </c>
    </row>
    <row r="71" spans="1:23" x14ac:dyDescent="0.25">
      <c r="A71" t="s">
        <v>75</v>
      </c>
    </row>
    <row r="72" spans="1:23" x14ac:dyDescent="0.25">
      <c r="A72" t="s">
        <v>76</v>
      </c>
    </row>
    <row r="73" spans="1:23" x14ac:dyDescent="0.25">
      <c r="A73" t="s">
        <v>51</v>
      </c>
    </row>
    <row r="74" spans="1:23" x14ac:dyDescent="0.25">
      <c r="A74" t="s">
        <v>52</v>
      </c>
    </row>
    <row r="75" spans="1:23" x14ac:dyDescent="0.25">
      <c r="A75" t="s">
        <v>53</v>
      </c>
    </row>
    <row r="76" spans="1:23" x14ac:dyDescent="0.25">
      <c r="A76" t="s">
        <v>57</v>
      </c>
      <c r="B76" t="s">
        <v>23</v>
      </c>
    </row>
    <row r="77" spans="1:23" x14ac:dyDescent="0.25">
      <c r="A77" t="s">
        <v>59</v>
      </c>
    </row>
    <row r="78" spans="1:23" x14ac:dyDescent="0.25">
      <c r="A78" t="s">
        <v>77</v>
      </c>
    </row>
    <row r="79" spans="1:23" x14ac:dyDescent="0.25">
      <c r="A79" t="s">
        <v>78</v>
      </c>
      <c r="W79" t="s">
        <v>23</v>
      </c>
    </row>
    <row r="80" spans="1:23" x14ac:dyDescent="0.25">
      <c r="A80" t="s">
        <v>79</v>
      </c>
      <c r="F80">
        <v>-14.723000000000001</v>
      </c>
      <c r="G80">
        <v>-20.782</v>
      </c>
      <c r="H80">
        <v>-8.7970000000000006</v>
      </c>
      <c r="I80" t="s">
        <v>23</v>
      </c>
      <c r="J80">
        <v>-2.218</v>
      </c>
      <c r="K80">
        <v>43.427999999999997</v>
      </c>
      <c r="L80">
        <v>68.456000000000003</v>
      </c>
      <c r="T80">
        <v>-112.369</v>
      </c>
      <c r="U80">
        <v>-59.508000000000003</v>
      </c>
      <c r="V80">
        <v>8.8000000000000007</v>
      </c>
      <c r="W80" t="s">
        <v>23</v>
      </c>
    </row>
    <row r="81" spans="1:25 16384:16384" x14ac:dyDescent="0.25">
      <c r="W81" t="s">
        <v>23</v>
      </c>
    </row>
    <row r="82" spans="1:25 16384:16384" x14ac:dyDescent="0.25">
      <c r="A82" t="s">
        <v>80</v>
      </c>
    </row>
    <row r="83" spans="1:25 16384:16384" x14ac:dyDescent="0.25">
      <c r="A83" t="s">
        <v>81</v>
      </c>
    </row>
    <row r="84" spans="1:25 16384:16384" x14ac:dyDescent="0.25">
      <c r="A84" t="s">
        <v>82</v>
      </c>
      <c r="F84">
        <v>-1.9450000000000001</v>
      </c>
      <c r="G84">
        <v>-2.8170000000000002</v>
      </c>
      <c r="H84">
        <v>-3.5739999999999998</v>
      </c>
      <c r="I84" t="s">
        <v>23</v>
      </c>
      <c r="J84">
        <v>-2.3620000000000001</v>
      </c>
      <c r="K84">
        <v>-4.7270000000000003</v>
      </c>
      <c r="L84">
        <v>-5.8250000000000002</v>
      </c>
      <c r="T84">
        <v>-13.510999999999999</v>
      </c>
      <c r="U84">
        <v>-13.911</v>
      </c>
      <c r="V84">
        <v>-4.9809999999999999</v>
      </c>
      <c r="W84" t="s">
        <v>23</v>
      </c>
    </row>
    <row r="86" spans="1:25 16384:16384" x14ac:dyDescent="0.25">
      <c r="A86" t="s">
        <v>34</v>
      </c>
    </row>
    <row r="87" spans="1:25 16384:16384" x14ac:dyDescent="0.25">
      <c r="A87" t="s">
        <v>83</v>
      </c>
    </row>
    <row r="88" spans="1:25 16384:16384" x14ac:dyDescent="0.25">
      <c r="A88" t="s">
        <v>84</v>
      </c>
    </row>
    <row r="89" spans="1:25 16384:16384" x14ac:dyDescent="0.25">
      <c r="A89" t="s">
        <v>85</v>
      </c>
    </row>
    <row r="90" spans="1:25 16384:16384" x14ac:dyDescent="0.25">
      <c r="A90" t="s">
        <v>86</v>
      </c>
      <c r="F90">
        <v>-0.65</v>
      </c>
      <c r="G90">
        <v>-0.41</v>
      </c>
      <c r="H90">
        <v>6</v>
      </c>
      <c r="I90" t="s">
        <v>23</v>
      </c>
      <c r="J90">
        <v>-1.4470000000000001</v>
      </c>
      <c r="K90">
        <v>-1.8089999999999999</v>
      </c>
      <c r="L90">
        <v>-27.276</v>
      </c>
      <c r="T90">
        <v>121.048</v>
      </c>
      <c r="U90">
        <v>108.852</v>
      </c>
      <c r="V90">
        <v>-38.988999999999997</v>
      </c>
      <c r="W90" t="s">
        <v>23</v>
      </c>
    </row>
    <row r="91" spans="1:25 16384:16384" x14ac:dyDescent="0.25">
      <c r="W91" t="s">
        <v>23</v>
      </c>
    </row>
    <row r="92" spans="1:25 16384:16384" x14ac:dyDescent="0.25">
      <c r="A92" t="s">
        <v>87</v>
      </c>
      <c r="F92">
        <v>-1.9450000000000001</v>
      </c>
      <c r="G92">
        <v>-2.8170000000000002</v>
      </c>
      <c r="H92">
        <f>3.574</f>
        <v>3.5739999999999998</v>
      </c>
      <c r="J92">
        <v>2.347</v>
      </c>
      <c r="K92">
        <v>4.4130000000000003</v>
      </c>
      <c r="L92">
        <v>5.4690000000000003</v>
      </c>
      <c r="T92">
        <v>-13.510999999999999</v>
      </c>
      <c r="U92">
        <v>-13.911</v>
      </c>
      <c r="V92">
        <v>-4.7709999999999999</v>
      </c>
      <c r="W92" t="s">
        <v>23</v>
      </c>
    </row>
    <row r="93" spans="1:25 16384:16384" x14ac:dyDescent="0.25">
      <c r="A93" t="s">
        <v>88</v>
      </c>
      <c r="D93" t="s">
        <v>23</v>
      </c>
      <c r="E93" t="s">
        <v>23</v>
      </c>
      <c r="F93">
        <f>+F80+F84+F90-F92</f>
        <v>-15.372999999999998</v>
      </c>
      <c r="G93">
        <f>+G80+G84+G90-G92</f>
        <v>-21.192</v>
      </c>
      <c r="H93">
        <f>+H80+H84+H90-H92</f>
        <v>-9.9450000000000003</v>
      </c>
      <c r="I93" t="s">
        <v>23</v>
      </c>
      <c r="J93">
        <f>+J80+J84+J90-J92</f>
        <v>-8.3740000000000006</v>
      </c>
      <c r="K93">
        <f>+K80+K84+K90-K92</f>
        <v>32.478999999999999</v>
      </c>
      <c r="L93">
        <f>+L80+L84+L90-L92</f>
        <v>29.886000000000003</v>
      </c>
      <c r="S93" t="s">
        <v>23</v>
      </c>
      <c r="T93">
        <f>+T80+T84+T90-T92</f>
        <v>8.6790000000000056</v>
      </c>
      <c r="U93" t="s">
        <v>23</v>
      </c>
      <c r="V93">
        <f>+V80+V84+V90-V92</f>
        <v>-30.398999999999994</v>
      </c>
      <c r="W93" t="s">
        <v>23</v>
      </c>
      <c r="Y93" t="s">
        <v>23</v>
      </c>
      <c r="XFD9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FB49-60AA-493C-BAC1-33C0EC99533B}">
  <dimension ref="A2:L20"/>
  <sheetViews>
    <sheetView workbookViewId="0">
      <selection activeCell="A16" sqref="A16"/>
    </sheetView>
  </sheetViews>
  <sheetFormatPr defaultRowHeight="15" x14ac:dyDescent="0.25"/>
  <sheetData>
    <row r="2" spans="1:9" x14ac:dyDescent="0.25">
      <c r="A2" t="s">
        <v>89</v>
      </c>
    </row>
    <row r="3" spans="1:9" x14ac:dyDescent="0.25">
      <c r="A3" t="s">
        <v>90</v>
      </c>
    </row>
    <row r="4" spans="1:9" x14ac:dyDescent="0.25">
      <c r="A4" t="s">
        <v>91</v>
      </c>
    </row>
    <row r="5" spans="1:9" x14ac:dyDescent="0.25">
      <c r="A5" t="s">
        <v>92</v>
      </c>
    </row>
    <row r="6" spans="1:9" x14ac:dyDescent="0.25">
      <c r="A6" t="s">
        <v>93</v>
      </c>
    </row>
    <row r="7" spans="1:9" x14ac:dyDescent="0.25">
      <c r="A7" t="s">
        <v>94</v>
      </c>
    </row>
    <row r="8" spans="1:9" x14ac:dyDescent="0.25">
      <c r="A8" t="s">
        <v>95</v>
      </c>
    </row>
    <row r="9" spans="1:9" x14ac:dyDescent="0.25">
      <c r="A9" t="s">
        <v>96</v>
      </c>
      <c r="G9" t="s">
        <v>23</v>
      </c>
    </row>
    <row r="10" spans="1:9" x14ac:dyDescent="0.25">
      <c r="G10">
        <v>4861</v>
      </c>
      <c r="H10">
        <f>+G10*0.0375</f>
        <v>182.28749999999999</v>
      </c>
    </row>
    <row r="11" spans="1:9" x14ac:dyDescent="0.25">
      <c r="G11">
        <v>36862</v>
      </c>
      <c r="H11">
        <v>334227</v>
      </c>
      <c r="I11">
        <f>+H11/100</f>
        <v>3342.27</v>
      </c>
    </row>
    <row r="12" spans="1:9" x14ac:dyDescent="0.25">
      <c r="I12">
        <f>+I11*G11</f>
        <v>123202756.73999999</v>
      </c>
    </row>
    <row r="18" spans="7:12" x14ac:dyDescent="0.25">
      <c r="G18">
        <v>4500</v>
      </c>
      <c r="I18">
        <v>190</v>
      </c>
    </row>
    <row r="19" spans="7:12" x14ac:dyDescent="0.25">
      <c r="G19">
        <v>120</v>
      </c>
      <c r="I19">
        <v>4500</v>
      </c>
      <c r="L19" s="6">
        <v>6.2888888888888883E-2</v>
      </c>
    </row>
    <row r="20" spans="7:12" x14ac:dyDescent="0.25">
      <c r="G20" s="3">
        <f>+G19/G18-1</f>
        <v>-0.97333333333333338</v>
      </c>
      <c r="I20" s="3">
        <f>+I19/I18-1</f>
        <v>22.684210526315791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main</vt:lpstr>
      <vt:lpstr>model</vt:lpstr>
      <vt:lpstr>Competitors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Simão Clemente</cp:lastModifiedBy>
  <cp:revision/>
  <dcterms:created xsi:type="dcterms:W3CDTF">2025-02-16T16:37:49Z</dcterms:created>
  <dcterms:modified xsi:type="dcterms:W3CDTF">2025-03-03T22:27:23Z</dcterms:modified>
  <cp:category/>
  <cp:contentStatus/>
</cp:coreProperties>
</file>