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203" documentId="8_{E5AA701E-4E5C-4693-867F-0B9DF357AD2F}" xr6:coauthVersionLast="47" xr6:coauthVersionMax="47" xr10:uidLastSave="{65FD3E10-6A7B-4D36-B3E6-01C9A0E4B46A}"/>
  <bookViews>
    <workbookView xWindow="-105" yWindow="0" windowWidth="14610" windowHeight="15585" xr2:uid="{4169B73F-CA98-4416-AEF1-3CC0FE1346E4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AB14" i="2" l="1"/>
  <c r="Y14" i="2"/>
  <c r="V63" i="2"/>
  <c r="P63" i="2"/>
  <c r="T63" i="2"/>
  <c r="S63" i="2"/>
  <c r="U63" i="2"/>
  <c r="V53" i="2"/>
  <c r="V54" i="2" s="1"/>
  <c r="U52" i="2"/>
  <c r="U43" i="2"/>
  <c r="U35" i="2"/>
  <c r="U33" i="2"/>
  <c r="V32" i="2"/>
  <c r="W21" i="2" s="1"/>
  <c r="U32" i="2"/>
  <c r="AB12" i="2"/>
  <c r="AA12" i="2"/>
  <c r="AA14" i="2" s="1"/>
  <c r="Z12" i="2"/>
  <c r="Z14" i="2" s="1"/>
  <c r="Y12" i="2"/>
  <c r="X12" i="2"/>
  <c r="X14" i="2" s="1"/>
  <c r="W12" i="2"/>
  <c r="W14" i="2" s="1"/>
  <c r="V12" i="2"/>
  <c r="U12" i="2"/>
  <c r="U26" i="2"/>
  <c r="U23" i="2"/>
  <c r="U21" i="2"/>
  <c r="U18" i="2"/>
  <c r="U17" i="2"/>
  <c r="U15" i="2"/>
  <c r="V26" i="2"/>
  <c r="W26" i="2" s="1"/>
  <c r="X26" i="2" s="1"/>
  <c r="V23" i="2"/>
  <c r="V21" i="2"/>
  <c r="L20" i="2"/>
  <c r="L22" i="2" s="1"/>
  <c r="L24" i="2" s="1"/>
  <c r="L25" i="2" s="1"/>
  <c r="K20" i="2"/>
  <c r="K22" i="2" s="1"/>
  <c r="K24" i="2" s="1"/>
  <c r="K25" i="2" s="1"/>
  <c r="J20" i="2"/>
  <c r="J22" i="2" s="1"/>
  <c r="J24" i="2" s="1"/>
  <c r="J25" i="2" s="1"/>
  <c r="I20" i="2"/>
  <c r="I22" i="2" s="1"/>
  <c r="I24" i="2" s="1"/>
  <c r="I25" i="2" s="1"/>
  <c r="H20" i="2"/>
  <c r="H22" i="2" s="1"/>
  <c r="H24" i="2" s="1"/>
  <c r="H25" i="2" s="1"/>
  <c r="G20" i="2"/>
  <c r="G22" i="2" s="1"/>
  <c r="G24" i="2" s="1"/>
  <c r="G25" i="2" s="1"/>
  <c r="F20" i="2"/>
  <c r="F22" i="2" s="1"/>
  <c r="F24" i="2" s="1"/>
  <c r="F25" i="2" s="1"/>
  <c r="E20" i="2"/>
  <c r="E22" i="2" s="1"/>
  <c r="E24" i="2" s="1"/>
  <c r="E25" i="2" s="1"/>
  <c r="D20" i="2"/>
  <c r="D22" i="2" s="1"/>
  <c r="D24" i="2" s="1"/>
  <c r="D25" i="2" s="1"/>
  <c r="L14" i="2"/>
  <c r="L28" i="2" s="1"/>
  <c r="K14" i="2"/>
  <c r="K28" i="2" s="1"/>
  <c r="J14" i="2"/>
  <c r="J28" i="2" s="1"/>
  <c r="I14" i="2"/>
  <c r="I28" i="2" s="1"/>
  <c r="H14" i="2"/>
  <c r="H28" i="2" s="1"/>
  <c r="G14" i="2"/>
  <c r="G28" i="2" s="1"/>
  <c r="F14" i="2"/>
  <c r="F28" i="2" s="1"/>
  <c r="E14" i="2"/>
  <c r="E30" i="2" s="1"/>
  <c r="D14" i="2"/>
  <c r="D30" i="2" s="1"/>
  <c r="M14" i="2"/>
  <c r="M30" i="2" s="1"/>
  <c r="V18" i="2"/>
  <c r="W18" i="2" s="1"/>
  <c r="X18" i="2" s="1"/>
  <c r="Y18" i="2" s="1"/>
  <c r="Z18" i="2" s="1"/>
  <c r="AA18" i="2" s="1"/>
  <c r="AB18" i="2" s="1"/>
  <c r="V17" i="2"/>
  <c r="W17" i="2" s="1"/>
  <c r="X17" i="2" s="1"/>
  <c r="Y17" i="2" s="1"/>
  <c r="Z17" i="2" s="1"/>
  <c r="AA17" i="2" s="1"/>
  <c r="AB17" i="2" s="1"/>
  <c r="V15" i="2"/>
  <c r="T2" i="2"/>
  <c r="U2" i="2" s="1"/>
  <c r="V2" i="2" s="1"/>
  <c r="W2" i="2" s="1"/>
  <c r="X2" i="2" s="1"/>
  <c r="Y2" i="2" s="1"/>
  <c r="Z2" i="2" s="1"/>
  <c r="AA2" i="2" s="1"/>
  <c r="AB2" i="2" s="1"/>
  <c r="C7" i="1"/>
  <c r="C4" i="1"/>
  <c r="L30" i="2" l="1"/>
  <c r="U41" i="2"/>
  <c r="U53" i="2" s="1"/>
  <c r="U54" i="2" s="1"/>
  <c r="V14" i="2"/>
  <c r="U14" i="2"/>
  <c r="D28" i="2"/>
  <c r="AB16" i="2"/>
  <c r="AB28" i="2" s="1"/>
  <c r="W16" i="2"/>
  <c r="W28" i="2" s="1"/>
  <c r="K30" i="2"/>
  <c r="F30" i="2"/>
  <c r="E28" i="2"/>
  <c r="G30" i="2"/>
  <c r="Z29" i="2"/>
  <c r="H30" i="2"/>
  <c r="I30" i="2"/>
  <c r="J30" i="2"/>
  <c r="W19" i="2"/>
  <c r="AA29" i="2"/>
  <c r="AA16" i="2"/>
  <c r="AA28" i="2" s="1"/>
  <c r="Y29" i="2"/>
  <c r="Z16" i="2"/>
  <c r="Z28" i="2" s="1"/>
  <c r="X29" i="2"/>
  <c r="X16" i="2"/>
  <c r="X28" i="2" s="1"/>
  <c r="Y16" i="2"/>
  <c r="Y28" i="2" s="1"/>
  <c r="Y26" i="2"/>
  <c r="AB29" i="2"/>
  <c r="U19" i="2"/>
  <c r="V19" i="2"/>
  <c r="H29" i="2"/>
  <c r="K29" i="2"/>
  <c r="V16" i="2"/>
  <c r="V28" i="2" s="1"/>
  <c r="M16" i="2"/>
  <c r="J29" i="2"/>
  <c r="L29" i="2"/>
  <c r="M29" i="2"/>
  <c r="I29" i="2"/>
  <c r="W20" i="2" l="1"/>
  <c r="W22" i="2" s="1"/>
  <c r="W23" i="2" s="1"/>
  <c r="M20" i="2"/>
  <c r="M22" i="2" s="1"/>
  <c r="M24" i="2" s="1"/>
  <c r="M25" i="2" s="1"/>
  <c r="M28" i="2"/>
  <c r="Z26" i="2"/>
  <c r="X19" i="2"/>
  <c r="X20" i="2" s="1"/>
  <c r="W29" i="2"/>
  <c r="V20" i="2"/>
  <c r="V22" i="2" s="1"/>
  <c r="V24" i="2" s="1"/>
  <c r="U16" i="2"/>
  <c r="V29" i="2"/>
  <c r="W24" i="2" l="1"/>
  <c r="W32" i="2" s="1"/>
  <c r="X21" i="2" s="1"/>
  <c r="X22" i="2" s="1"/>
  <c r="V25" i="2"/>
  <c r="V57" i="2"/>
  <c r="V56" i="2"/>
  <c r="U20" i="2"/>
  <c r="U22" i="2" s="1"/>
  <c r="U24" i="2" s="1"/>
  <c r="U28" i="2"/>
  <c r="AA26" i="2"/>
  <c r="AB26" i="2" s="1"/>
  <c r="Y19" i="2"/>
  <c r="Y20" i="2" s="1"/>
  <c r="W25" i="2" l="1"/>
  <c r="U25" i="2"/>
  <c r="U57" i="2"/>
  <c r="U56" i="2"/>
  <c r="X23" i="2"/>
  <c r="X24" i="2" s="1"/>
  <c r="Z19" i="2"/>
  <c r="Z20" i="2" s="1"/>
  <c r="X25" i="2" l="1"/>
  <c r="X32" i="2"/>
  <c r="Y21" i="2" s="1"/>
  <c r="AB19" i="2"/>
  <c r="AB20" i="2" s="1"/>
  <c r="AA19" i="2"/>
  <c r="AA20" i="2" s="1"/>
  <c r="Y22" i="2" l="1"/>
  <c r="Y23" i="2" s="1"/>
  <c r="Y24" i="2" s="1"/>
  <c r="Y25" i="2" l="1"/>
  <c r="Y32" i="2"/>
  <c r="Z21" i="2" s="1"/>
  <c r="Z22" i="2" l="1"/>
  <c r="Z23" i="2" s="1"/>
  <c r="Z24" i="2" s="1"/>
  <c r="Z25" i="2" l="1"/>
  <c r="Z32" i="2"/>
  <c r="AA21" i="2" s="1"/>
  <c r="AA22" i="2" l="1"/>
  <c r="AA23" i="2" s="1"/>
  <c r="AA24" i="2" s="1"/>
  <c r="AA25" i="2" l="1"/>
  <c r="AA32" i="2"/>
  <c r="AB21" i="2" s="1"/>
  <c r="AB22" i="2" l="1"/>
  <c r="AB23" i="2" s="1"/>
  <c r="AB24" i="2" s="1"/>
  <c r="AB32" i="2" l="1"/>
  <c r="AB25" i="2"/>
  <c r="AC24" i="2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P24" i="2" l="1"/>
  <c r="P25" i="2" s="1"/>
  <c r="P26" i="2" s="1"/>
</calcChain>
</file>

<file path=xl/sharedStrings.xml><?xml version="1.0" encoding="utf-8"?>
<sst xmlns="http://schemas.openxmlformats.org/spreadsheetml/2006/main" count="95" uniqueCount="75">
  <si>
    <t>Price</t>
  </si>
  <si>
    <t>MC</t>
  </si>
  <si>
    <t xml:space="preserve">Shares </t>
  </si>
  <si>
    <t>Cash</t>
  </si>
  <si>
    <t>Debt</t>
  </si>
  <si>
    <t>EV</t>
  </si>
  <si>
    <t>Revenue</t>
  </si>
  <si>
    <t>COGS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</si>
  <si>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</si>
  <si>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</si>
  <si>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</si>
  <si>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</si>
  <si>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</si>
  <si>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</si>
  <si>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</si>
  <si>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</si>
  <si>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</si>
  <si>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</si>
  <si>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</si>
  <si>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</si>
  <si>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 xml:space="preserve"> </t>
  </si>
  <si>
    <t>Rev y/y</t>
  </si>
  <si>
    <t>Products</t>
  </si>
  <si>
    <t xml:space="preserve">Collaboration and other </t>
  </si>
  <si>
    <t>RD</t>
  </si>
  <si>
    <t>SGA</t>
  </si>
  <si>
    <t>OPEX</t>
  </si>
  <si>
    <t xml:space="preserve">Gross profit </t>
  </si>
  <si>
    <t xml:space="preserve">Operating Profit </t>
  </si>
  <si>
    <t>PRETAX</t>
  </si>
  <si>
    <t>TAX</t>
  </si>
  <si>
    <t>NI</t>
  </si>
  <si>
    <t>EPS</t>
  </si>
  <si>
    <t>Shares</t>
  </si>
  <si>
    <t>Interest Income</t>
  </si>
  <si>
    <t>Gross %</t>
  </si>
  <si>
    <t>Net Adds</t>
  </si>
  <si>
    <t>Patients</t>
  </si>
  <si>
    <t>Elevidys</t>
  </si>
  <si>
    <t>PMOs</t>
  </si>
  <si>
    <t>Exondys</t>
  </si>
  <si>
    <t>Amondys</t>
  </si>
  <si>
    <t>Vyondys</t>
  </si>
  <si>
    <t xml:space="preserve">ROIC </t>
  </si>
  <si>
    <t>NPV</t>
  </si>
  <si>
    <t>NC</t>
  </si>
  <si>
    <t>RD %</t>
  </si>
  <si>
    <t>AR</t>
  </si>
  <si>
    <t>Invetory</t>
  </si>
  <si>
    <t>Prepaids</t>
  </si>
  <si>
    <t>OCA</t>
  </si>
  <si>
    <t>PPE</t>
  </si>
  <si>
    <t>Righ of assets</t>
  </si>
  <si>
    <t>ONCA</t>
  </si>
  <si>
    <t>Assets</t>
  </si>
  <si>
    <t>AP</t>
  </si>
  <si>
    <t>AE</t>
  </si>
  <si>
    <t>DR</t>
  </si>
  <si>
    <t>OCL</t>
  </si>
  <si>
    <t>ONCL</t>
  </si>
  <si>
    <t>Contigent</t>
  </si>
  <si>
    <t>Liabilites</t>
  </si>
  <si>
    <t>Leases</t>
  </si>
  <si>
    <t>S/E</t>
  </si>
  <si>
    <t>L+S/E</t>
  </si>
  <si>
    <t>ROE</t>
  </si>
  <si>
    <t>ROA</t>
  </si>
  <si>
    <t>CFFO</t>
  </si>
  <si>
    <t>CFFI</t>
  </si>
  <si>
    <t>CFFF</t>
  </si>
  <si>
    <t>Capex</t>
  </si>
  <si>
    <t>CFC</t>
  </si>
  <si>
    <t>Q424</t>
  </si>
  <si>
    <t>Share Price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</si>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</sst>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#,##0.00\ &quot;€&quot;;[Red]\-#,##0.00\ &quot;€&quot;"/>
  </numFmts>
  <fonts count="5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3" fontId="0" fillId="2" borderId="0" xfId="0" applyNumberFormat="1" applyFill="1"/>
    <xf numFmtId="0" fontId="0" fillId="2" borderId="0" xfId="0" applyFill="1"/>
    <xf numFmtId="3" fontId="1" fillId="2" borderId="0" xfId="1" applyNumberFormat="1" applyFill="1"/>
    <xf numFmtId="3" fontId="2" fillId="2" borderId="0" xfId="1" applyNumberFormat="1" applyFont="1" applyFill="1"/>
    <xf numFmtId="9" fontId="0" fillId="2" borderId="0" xfId="0" applyNumberFormat="1" applyFill="1"/>
    <xf numFmtId="9" fontId="1" fillId="2" borderId="0" xfId="1" applyNumberFormat="1" applyFill="1"/>
    <xf numFmtId="8" fontId="0" fillId="2" borderId="0" xfId="0" applyNumberFormat="1" applyFill="1"/>
    <xf numFmtId="3" fontId="3" fillId="2" borderId="0" xfId="1" applyNumberFormat="1" applyFont="1" applyFill="1" applyAlignment="1">
      <alignment horizontal="right"/>
    </xf>
    <xf numFmtId="0" fontId="3" fillId="2" borderId="0" xfId="1" applyFont="1" applyFill="1"/>
    <xf numFmtId="3" fontId="3" fillId="2" borderId="0" xfId="1" applyNumberFormat="1" applyFont="1" applyFill="1"/>
    <xf numFmtId="3" fontId="3" fillId="2" borderId="0" xfId="1" applyNumberFormat="1" applyFont="1" applyFill="1" applyAlignment="1">
      <alignment horizontal="left"/>
    </xf>
    <xf numFmtId="0" fontId="3" fillId="2" borderId="0" xfId="0" applyFont="1" applyFill="1"/>
    <xf numFmtId="3" fontId="4" fillId="2" borderId="0" xfId="1" applyNumberFormat="1" applyFont="1" applyFill="1"/>
    <xf numFmtId="3" fontId="4" fillId="2" borderId="0" xfId="0" applyNumberFormat="1" applyFont="1" applyFill="1"/>
    <xf numFmtId="0" fontId="4" fillId="2" borderId="0" xfId="0" applyFont="1" applyFill="1"/>
    <xf numFmtId="4" fontId="3" fillId="2" borderId="0" xfId="1" applyNumberFormat="1" applyFont="1" applyFill="1"/>
    <xf numFmtId="9" fontId="4" fillId="2" borderId="0" xfId="0" applyNumberFormat="1" applyFont="1" applyFill="1"/>
    <xf numFmtId="3" fontId="3" fillId="0" borderId="0" xfId="1" applyNumberFormat="1" applyFont="1" applyFill="1"/>
    <xf numFmtId="3" fontId="3" fillId="0" borderId="0" xfId="1" applyNumberFormat="1" applyFont="1" applyFill="1" applyAlignment="1">
      <alignment horizontal="left"/>
    </xf>
  </cellXfs>
  <cellStyles count="2">
    <cellStyle name="Normal" xfId="0" builtinId="0"/>
    <cellStyle name="Normal 2" xfId="1" xr:uid="{28C4E66D-87FD-4720-A70E-2B8F69B397E8}"/>
  </cellStyles>
  <dxfs count="0"/>
  <tableStyles count="1" defaultTableStyle="TableStyleMedium2" defaultPivotStyle="PivotStyleLight16">
    <tableStyle name="Invisible" pivot="0" table="0" count="0" xr9:uid="{DA5123CF-2D1E-4DD9-A7C0-F3754D259F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76200</xdr:rowOff>
    </xdr:from>
    <xdr:to>
      <xdr:col>13</xdr:col>
      <xdr:colOff>9525</xdr:colOff>
      <xdr:row>30</xdr:row>
      <xdr:rowOff>114300</xdr:rowOff>
    </xdr:to>
    <xdr:cxnSp macro="">
      <xdr:nvCxnSpPr>
        <xdr:cNvPr id="2" name="Conexão reta unidirecional 1">
          <a:extLst>
            <a:ext uri="{FF2B5EF4-FFF2-40B4-BE49-F238E27FC236}">
              <a16:creationId xmlns:a16="http://schemas.microsoft.com/office/drawing/2014/main" id="{EC640F1B-E9DA-92EB-F47F-FC0DC6245E55}"/>
            </a:ext>
          </a:extLst>
        </xdr:cNvPr>
        <xdr:cNvCxnSpPr/>
      </xdr:nvCxnSpPr>
      <xdr:spPr>
        <a:xfrm flipH="1">
          <a:off x="9582150" y="257175"/>
          <a:ext cx="9525" cy="53149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1</xdr:row>
      <xdr:rowOff>9525</xdr:rowOff>
    </xdr:from>
    <xdr:to>
      <xdr:col>22</xdr:col>
      <xdr:colOff>19050</xdr:colOff>
      <xdr:row>31</xdr:row>
      <xdr:rowOff>66675</xdr:rowOff>
    </xdr:to>
    <xdr:cxnSp macro="">
      <xdr:nvCxnSpPr>
        <xdr:cNvPr id="7" name="Conexão reta unidirecional 6">
          <a:extLst>
            <a:ext uri="{FF2B5EF4-FFF2-40B4-BE49-F238E27FC236}">
              <a16:creationId xmlns:a16="http://schemas.microsoft.com/office/drawing/2014/main" id="{74B9EC2E-CA65-44F1-95D7-767B784B9FB2}"/>
            </a:ext>
          </a:extLst>
        </xdr:cNvPr>
        <xdr:cNvCxnSpPr/>
      </xdr:nvCxnSpPr>
      <xdr:spPr>
        <a:xfrm>
          <a:off x="16430625" y="190500"/>
          <a:ext cx="0" cy="55149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815D-2790-448D-A520-B4F5C888B6A6}">
  <dimension ref="B2:D16"/>
  <sheetViews>
    <sheetView tabSelected="1" workbookViewId="0">
      <selection activeCell="C12" sqref="C12"/>
    </sheetView>
  </sheetViews>
  <sheetFormatPr defaultRowHeight="14.25" x14ac:dyDescent="0.2"/>
  <sheetData>
    <row r="2" spans="2:4" x14ac:dyDescent="0.2">
      <c r="B2" t="s">
        <v>0</v>
      </c>
      <c r="C2">
        <v>55</v>
      </c>
    </row>
    <row r="3" spans="2:4" x14ac:dyDescent="0.2">
      <c r="B3" t="s">
        <v>2</v>
      </c>
      <c r="C3">
        <v>96.9</v>
      </c>
      <c r="D3" t="s">
        <v>72</v>
      </c>
    </row>
    <row r="4" spans="2:4" x14ac:dyDescent="0.2">
      <c r="B4" t="s">
        <v>1</v>
      </c>
      <c r="C4">
        <f>+C2*C3</f>
        <v>5329.5</v>
      </c>
    </row>
    <row r="5" spans="2:4" x14ac:dyDescent="0.2">
      <c r="B5" t="s">
        <v>3</v>
      </c>
      <c r="C5">
        <f>1103.01+251.782+133.163</f>
        <v>1487.9549999999999</v>
      </c>
      <c r="D5" t="s">
        <v>72</v>
      </c>
    </row>
    <row r="6" spans="2:4" x14ac:dyDescent="0.2">
      <c r="B6" t="s">
        <v>4</v>
      </c>
      <c r="C6">
        <v>1137.124</v>
      </c>
      <c r="D6" t="s">
        <v>72</v>
      </c>
    </row>
    <row r="7" spans="2:4" x14ac:dyDescent="0.2">
      <c r="B7" t="s">
        <v>5</v>
      </c>
      <c r="C7">
        <f>+C4+C5-C6</f>
        <v>5680.3310000000001</v>
      </c>
    </row>
    <row r="12" spans="2:4" x14ac:dyDescent="0.2">
      <c r="B12" s="18" t="s">
        <v>38</v>
      </c>
    </row>
    <row r="13" spans="2:4" x14ac:dyDescent="0.2">
      <c r="B13" s="18" t="s">
        <v>39</v>
      </c>
    </row>
    <row r="14" spans="2:4" x14ac:dyDescent="0.2">
      <c r="B14" s="19" t="s">
        <v>40</v>
      </c>
    </row>
    <row r="15" spans="2:4" x14ac:dyDescent="0.2">
      <c r="B15" s="18" t="s">
        <v>41</v>
      </c>
    </row>
    <row r="16" spans="2:4" x14ac:dyDescent="0.2">
      <c r="B16" s="1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8685-D02D-4563-B96D-38ACA7D3723F}">
  <dimension ref="A2:AP64"/>
  <sheetViews>
    <sheetView topLeftCell="A2" workbookViewId="0">
      <pane xSplit="1" ySplit="1" topLeftCell="F3" activePane="bottomRight" state="frozen"/>
      <selection activeCell="A2" sqref="A2"/>
      <selection pane="topRight" activeCell="B2" sqref="B2"/>
      <selection pane="bottomLeft" activeCell="A3" sqref="A3"/>
      <selection pane="bottomRight" activeCell="A10" sqref="A6:A10"/>
    </sheetView>
  </sheetViews>
  <sheetFormatPr defaultRowHeight="14.25" x14ac:dyDescent="0.2"/>
  <cols>
    <col min="1" max="1" width="17.75" style="2" bestFit="1" customWidth="1"/>
    <col min="2" max="15" width="9" style="2"/>
    <col min="16" max="16" width="11.875" style="2" bestFit="1" customWidth="1"/>
    <col min="17" max="18" width="11.875" style="2" customWidth="1"/>
    <col min="19" max="16384" width="9" style="2"/>
  </cols>
  <sheetData>
    <row r="2" spans="1:33" x14ac:dyDescent="0.2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S2" s="2">
        <v>2021</v>
      </c>
      <c r="T2" s="2">
        <f>+S2+1</f>
        <v>2022</v>
      </c>
      <c r="U2" s="2">
        <f t="shared" ref="U2:AB2" si="0">+T2+1</f>
        <v>2023</v>
      </c>
      <c r="V2" s="2">
        <f t="shared" si="0"/>
        <v>2024</v>
      </c>
      <c r="W2" s="2">
        <f t="shared" si="0"/>
        <v>2025</v>
      </c>
      <c r="X2" s="2">
        <f t="shared" si="0"/>
        <v>2026</v>
      </c>
      <c r="Y2" s="2">
        <f t="shared" si="0"/>
        <v>2027</v>
      </c>
      <c r="Z2" s="2">
        <f t="shared" si="0"/>
        <v>2028</v>
      </c>
      <c r="AA2" s="2">
        <f t="shared" si="0"/>
        <v>2029</v>
      </c>
      <c r="AB2" s="2">
        <f t="shared" si="0"/>
        <v>2030</v>
      </c>
      <c r="AC2" s="2" t="s">
        <v>20</v>
      </c>
      <c r="AD2" s="2" t="s">
        <v>20</v>
      </c>
    </row>
    <row r="3" spans="1:33" x14ac:dyDescent="0.2">
      <c r="A3" s="9" t="s">
        <v>36</v>
      </c>
      <c r="U3" s="3" t="s">
        <v>20</v>
      </c>
      <c r="V3" s="3">
        <v>256.51781249999999</v>
      </c>
      <c r="W3" s="3">
        <v>558.375</v>
      </c>
      <c r="X3" s="3">
        <v>800</v>
      </c>
      <c r="Y3" s="3">
        <v>800</v>
      </c>
      <c r="Z3" s="3">
        <v>800</v>
      </c>
      <c r="AA3" s="3">
        <v>800</v>
      </c>
      <c r="AB3" s="3">
        <v>800</v>
      </c>
      <c r="AC3" s="3">
        <v>800</v>
      </c>
      <c r="AD3" s="3">
        <v>800</v>
      </c>
      <c r="AE3" s="3">
        <v>800</v>
      </c>
      <c r="AF3" s="3">
        <v>800</v>
      </c>
      <c r="AG3" s="3">
        <v>800</v>
      </c>
    </row>
    <row r="4" spans="1:33" x14ac:dyDescent="0.2">
      <c r="A4" s="9" t="s">
        <v>37</v>
      </c>
      <c r="U4" s="3"/>
      <c r="V4" s="3">
        <v>600</v>
      </c>
      <c r="W4" s="3">
        <v>1158.375</v>
      </c>
      <c r="X4" s="3">
        <v>1958.375</v>
      </c>
      <c r="Y4" s="3">
        <v>2758.375</v>
      </c>
      <c r="Z4" s="3">
        <v>3558.375</v>
      </c>
      <c r="AA4" s="3">
        <v>4358.375</v>
      </c>
      <c r="AB4" s="3">
        <v>5158.375</v>
      </c>
      <c r="AC4" s="3">
        <v>5958.375</v>
      </c>
      <c r="AD4" s="3">
        <v>6758.375</v>
      </c>
      <c r="AE4" s="3">
        <v>7558.375</v>
      </c>
      <c r="AF4" s="3">
        <v>8358.375</v>
      </c>
      <c r="AG4" s="3">
        <v>9158.375</v>
      </c>
    </row>
    <row r="5" spans="1:33" x14ac:dyDescent="0.2">
      <c r="A5" s="9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">
      <c r="A6" s="10" t="s">
        <v>38</v>
      </c>
      <c r="U6" s="3">
        <v>200.29999999999998</v>
      </c>
      <c r="V6" s="3">
        <v>820.85699999999997</v>
      </c>
      <c r="W6" s="3">
        <v>1786.8</v>
      </c>
      <c r="X6" s="3">
        <v>2560</v>
      </c>
      <c r="Y6" s="3">
        <v>2560</v>
      </c>
      <c r="Z6" s="3">
        <v>2560</v>
      </c>
      <c r="AA6" s="3">
        <v>2560</v>
      </c>
      <c r="AB6" s="3">
        <v>2560</v>
      </c>
      <c r="AC6" s="3">
        <v>2560</v>
      </c>
      <c r="AD6" s="3">
        <v>2560</v>
      </c>
      <c r="AE6" s="3">
        <v>2560</v>
      </c>
      <c r="AF6" s="3">
        <v>2560</v>
      </c>
      <c r="AG6" s="3">
        <v>2560</v>
      </c>
    </row>
    <row r="7" spans="1:33" x14ac:dyDescent="0.2">
      <c r="A7" s="10" t="s">
        <v>39</v>
      </c>
      <c r="U7" s="3">
        <v>944.57600000000002</v>
      </c>
      <c r="V7" s="3">
        <v>967.17499999999995</v>
      </c>
      <c r="W7" s="3">
        <v>1026</v>
      </c>
      <c r="X7" s="3">
        <v>923.4</v>
      </c>
      <c r="Y7" s="3">
        <v>831.06</v>
      </c>
      <c r="Z7" s="3">
        <v>747.95399999999995</v>
      </c>
      <c r="AA7" s="3">
        <v>673.15859999999998</v>
      </c>
      <c r="AB7" s="3">
        <v>605.84274000000005</v>
      </c>
      <c r="AC7" s="3">
        <v>545.25846600000011</v>
      </c>
      <c r="AD7" s="3">
        <v>490.73261940000009</v>
      </c>
      <c r="AE7" s="3">
        <v>441.65935746000008</v>
      </c>
      <c r="AF7" s="3">
        <v>397.49342171400008</v>
      </c>
      <c r="AG7" s="3">
        <v>357.7440795426001</v>
      </c>
    </row>
    <row r="8" spans="1:33" x14ac:dyDescent="0.2">
      <c r="A8" s="11" t="s">
        <v>40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">
      <c r="A9" s="10" t="s">
        <v>41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">
      <c r="A10" s="10" t="s">
        <v>42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">
      <c r="A11" s="1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">
      <c r="A12" s="12" t="s">
        <v>22</v>
      </c>
      <c r="D12" s="8">
        <v>207.774</v>
      </c>
      <c r="E12" s="10">
        <v>235.93299999999999</v>
      </c>
      <c r="F12" s="10">
        <v>231.495</v>
      </c>
      <c r="G12" s="10">
        <v>238.988</v>
      </c>
      <c r="H12" s="8">
        <v>309.322</v>
      </c>
      <c r="I12" s="10">
        <v>365.07100000000003</v>
      </c>
      <c r="J12" s="10">
        <v>359.48399999999998</v>
      </c>
      <c r="K12" s="10">
        <v>360.548</v>
      </c>
      <c r="L12" s="10">
        <v>429.8</v>
      </c>
      <c r="M12" s="10">
        <v>638.20000000000005</v>
      </c>
      <c r="S12" s="2">
        <v>612.40099999999995</v>
      </c>
      <c r="T12" s="2">
        <v>843.76900000000001</v>
      </c>
      <c r="U12" s="1">
        <f>+U6+U7</f>
        <v>1144.876</v>
      </c>
      <c r="V12" s="1">
        <f>+V6+V7</f>
        <v>1788.0319999999999</v>
      </c>
      <c r="W12" s="1">
        <f>+W6+W7</f>
        <v>2812.8</v>
      </c>
      <c r="X12" s="1">
        <f>+X6+X7</f>
        <v>3483.4</v>
      </c>
      <c r="Y12" s="1">
        <f>+Y6+Y7</f>
        <v>3391.06</v>
      </c>
      <c r="Z12" s="1">
        <f>+Z6+Z7</f>
        <v>3307.9539999999997</v>
      </c>
      <c r="AA12" s="1">
        <f>+AA6+AA7</f>
        <v>3233.1585999999998</v>
      </c>
      <c r="AB12" s="1">
        <f>+AB6+AB7</f>
        <v>3165.84274</v>
      </c>
      <c r="AC12" s="1"/>
      <c r="AD12" s="1"/>
      <c r="AE12" s="1"/>
      <c r="AF12" s="1"/>
      <c r="AG12" s="1"/>
    </row>
    <row r="13" spans="1:33" x14ac:dyDescent="0.2">
      <c r="A13" s="2" t="s">
        <v>23</v>
      </c>
      <c r="D13" s="8">
        <v>22.495000000000001</v>
      </c>
      <c r="E13" s="10">
        <v>22.494</v>
      </c>
      <c r="F13" s="10">
        <v>22.004999999999999</v>
      </c>
      <c r="G13" s="10">
        <v>22.25</v>
      </c>
      <c r="H13" s="8">
        <v>22.495000000000001</v>
      </c>
      <c r="I13" s="10">
        <v>31.71</v>
      </c>
      <c r="J13" s="10">
        <v>53.98</v>
      </c>
      <c r="K13" s="10">
        <v>2.383</v>
      </c>
      <c r="L13" s="10">
        <v>37.401000000000003</v>
      </c>
      <c r="M13" s="10">
        <v>20.254999999999999</v>
      </c>
      <c r="S13" s="1">
        <v>89.486000000000004</v>
      </c>
      <c r="T13" s="1">
        <v>89.543999999999997</v>
      </c>
      <c r="U13" s="1">
        <v>98.46</v>
      </c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x14ac:dyDescent="0.25">
      <c r="A14" s="2" t="s">
        <v>6</v>
      </c>
      <c r="D14" s="13">
        <f t="shared" ref="D14:L14" si="1">+D12+D13</f>
        <v>230.26900000000001</v>
      </c>
      <c r="E14" s="13">
        <f t="shared" si="1"/>
        <v>258.42700000000002</v>
      </c>
      <c r="F14" s="13">
        <f t="shared" si="1"/>
        <v>253.5</v>
      </c>
      <c r="G14" s="13">
        <f t="shared" si="1"/>
        <v>261.238</v>
      </c>
      <c r="H14" s="13">
        <f t="shared" si="1"/>
        <v>331.81700000000001</v>
      </c>
      <c r="I14" s="13">
        <f t="shared" si="1"/>
        <v>396.78100000000001</v>
      </c>
      <c r="J14" s="13">
        <f t="shared" si="1"/>
        <v>413.464</v>
      </c>
      <c r="K14" s="13">
        <f t="shared" si="1"/>
        <v>362.93099999999998</v>
      </c>
      <c r="L14" s="13">
        <f t="shared" si="1"/>
        <v>467.20100000000002</v>
      </c>
      <c r="M14" s="13">
        <f>+M12+M13</f>
        <v>658.45500000000004</v>
      </c>
      <c r="U14" s="14">
        <f>+SUM(F14:I14)</f>
        <v>1243.336</v>
      </c>
      <c r="V14" s="14">
        <f>+SUM(J14:M14)</f>
        <v>1902.0509999999999</v>
      </c>
      <c r="W14" s="14">
        <f t="shared" ref="W14:AB14" si="2">+W12+W13</f>
        <v>2812.8</v>
      </c>
      <c r="X14" s="14">
        <f t="shared" si="2"/>
        <v>3483.4</v>
      </c>
      <c r="Y14" s="14">
        <f t="shared" si="2"/>
        <v>3391.06</v>
      </c>
      <c r="Z14" s="14">
        <f t="shared" si="2"/>
        <v>3307.9539999999997</v>
      </c>
      <c r="AA14" s="14">
        <f t="shared" si="2"/>
        <v>3233.1585999999998</v>
      </c>
      <c r="AB14" s="14">
        <f t="shared" si="2"/>
        <v>3165.84274</v>
      </c>
      <c r="AC14" s="1"/>
      <c r="AD14" s="1"/>
      <c r="AE14" s="1"/>
      <c r="AF14" s="1"/>
      <c r="AG14" s="1"/>
    </row>
    <row r="15" spans="1:33" x14ac:dyDescent="0.2">
      <c r="A15" s="2" t="s">
        <v>7</v>
      </c>
      <c r="D15" s="8">
        <v>39.951999999999998</v>
      </c>
      <c r="E15" s="10">
        <v>30.798999999999999</v>
      </c>
      <c r="F15" s="10">
        <v>35.017000000000003</v>
      </c>
      <c r="G15" s="10">
        <v>34.124000000000002</v>
      </c>
      <c r="H15" s="8">
        <v>37.026000000000003</v>
      </c>
      <c r="I15" s="10">
        <v>44.176000000000002</v>
      </c>
      <c r="J15" s="10">
        <v>50.558999999999997</v>
      </c>
      <c r="K15" s="10">
        <v>44.545000000000002</v>
      </c>
      <c r="L15" s="10">
        <v>91.691000000000003</v>
      </c>
      <c r="M15" s="10">
        <v>132.304</v>
      </c>
      <c r="U15" s="1">
        <f>+SUM(F15:I15)</f>
        <v>150.34300000000002</v>
      </c>
      <c r="V15" s="1">
        <f>+SUM(J15:M15)</f>
        <v>319.09900000000005</v>
      </c>
      <c r="W15" s="1" t="s">
        <v>20</v>
      </c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2">
      <c r="A16" s="2" t="s">
        <v>27</v>
      </c>
      <c r="D16" s="8">
        <v>190.31700000000001</v>
      </c>
      <c r="E16" s="10">
        <v>227.62800000000001</v>
      </c>
      <c r="F16" s="10">
        <v>218.483</v>
      </c>
      <c r="G16" s="10">
        <v>227.114</v>
      </c>
      <c r="H16" s="8">
        <v>294.791</v>
      </c>
      <c r="I16" s="10">
        <v>352.60500000000002</v>
      </c>
      <c r="J16" s="10">
        <v>362.90499999999997</v>
      </c>
      <c r="K16" s="10">
        <v>318.38599999999997</v>
      </c>
      <c r="L16" s="10">
        <v>375.51</v>
      </c>
      <c r="M16" s="10">
        <f>+M14-M15</f>
        <v>526.15100000000007</v>
      </c>
      <c r="O16" s="2" t="s">
        <v>20</v>
      </c>
      <c r="U16" s="1">
        <f>+U14-U15</f>
        <v>1092.9929999999999</v>
      </c>
      <c r="V16" s="1">
        <f>+V14-V15</f>
        <v>1582.9519999999998</v>
      </c>
      <c r="W16" s="1">
        <f>+W14*0.8</f>
        <v>2250.2400000000002</v>
      </c>
      <c r="X16" s="1">
        <f t="shared" ref="X16:AB16" si="3">+X14*0.8</f>
        <v>2786.7200000000003</v>
      </c>
      <c r="Y16" s="1">
        <f t="shared" si="3"/>
        <v>2712.848</v>
      </c>
      <c r="Z16" s="1">
        <f t="shared" si="3"/>
        <v>2646.3631999999998</v>
      </c>
      <c r="AA16" s="1">
        <f t="shared" si="3"/>
        <v>2586.5268799999999</v>
      </c>
      <c r="AB16" s="1">
        <f t="shared" si="3"/>
        <v>2532.6741920000004</v>
      </c>
      <c r="AC16" s="1"/>
      <c r="AD16" s="1"/>
      <c r="AE16" s="1"/>
      <c r="AF16" s="1"/>
      <c r="AG16" s="1"/>
    </row>
    <row r="17" spans="1:42" x14ac:dyDescent="0.2">
      <c r="A17" s="2" t="s">
        <v>24</v>
      </c>
      <c r="D17" s="8">
        <v>216.70699999999999</v>
      </c>
      <c r="E17" s="10">
        <v>213.804</v>
      </c>
      <c r="F17" s="10">
        <v>245.679</v>
      </c>
      <c r="G17" s="10">
        <v>241.89</v>
      </c>
      <c r="H17" s="8">
        <v>194.30099999999999</v>
      </c>
      <c r="I17" s="10">
        <v>195.517</v>
      </c>
      <c r="J17" s="10">
        <v>200.39599999999999</v>
      </c>
      <c r="K17" s="10">
        <v>179.69</v>
      </c>
      <c r="L17" s="10">
        <v>222.483</v>
      </c>
      <c r="M17" s="10">
        <v>199.953</v>
      </c>
      <c r="U17" s="1">
        <f t="shared" ref="U17:U18" si="4">+SUM(F17:I17)</f>
        <v>877.38699999999994</v>
      </c>
      <c r="V17" s="1">
        <f>+SUM(J17:M17)</f>
        <v>802.52199999999993</v>
      </c>
      <c r="W17" s="1">
        <f>+V17*1.15</f>
        <v>922.9002999999999</v>
      </c>
      <c r="X17" s="1">
        <f t="shared" ref="X17:AB17" si="5">+W17*1.15</f>
        <v>1061.3353449999997</v>
      </c>
      <c r="Y17" s="1">
        <f t="shared" si="5"/>
        <v>1220.5356467499996</v>
      </c>
      <c r="Z17" s="1">
        <f t="shared" si="5"/>
        <v>1403.6159937624996</v>
      </c>
      <c r="AA17" s="1">
        <f t="shared" si="5"/>
        <v>1614.1583928268744</v>
      </c>
      <c r="AB17" s="1">
        <f t="shared" si="5"/>
        <v>1856.2821517509055</v>
      </c>
      <c r="AC17" s="1"/>
      <c r="AD17" s="1"/>
      <c r="AE17" s="1"/>
      <c r="AF17" s="1"/>
      <c r="AG17" s="1"/>
    </row>
    <row r="18" spans="1:42" x14ac:dyDescent="0.2">
      <c r="A18" s="2" t="s">
        <v>25</v>
      </c>
      <c r="D18" s="8">
        <v>104.78700000000001</v>
      </c>
      <c r="E18" s="10">
        <v>120.47799999999999</v>
      </c>
      <c r="F18" s="10">
        <v>110.714</v>
      </c>
      <c r="G18" s="10">
        <v>118.56399999999999</v>
      </c>
      <c r="H18" s="8">
        <v>120.893</v>
      </c>
      <c r="I18" s="10">
        <v>131.69999999999999</v>
      </c>
      <c r="J18" s="10">
        <v>127.003</v>
      </c>
      <c r="K18" s="10">
        <v>138.79599999999999</v>
      </c>
      <c r="L18" s="10">
        <v>128.80000000000001</v>
      </c>
      <c r="M18" s="10">
        <v>163.87299999999999</v>
      </c>
      <c r="U18" s="1">
        <f t="shared" si="4"/>
        <v>481.87099999999998</v>
      </c>
      <c r="V18" s="1">
        <f>+SUM(J18:M18)</f>
        <v>558.47199999999998</v>
      </c>
      <c r="W18" s="1">
        <f>+V18*0.95</f>
        <v>530.5483999999999</v>
      </c>
      <c r="X18" s="1">
        <f t="shared" ref="X18:AB18" si="6">+W18*0.95</f>
        <v>504.02097999999989</v>
      </c>
      <c r="Y18" s="1">
        <f t="shared" si="6"/>
        <v>478.81993099999988</v>
      </c>
      <c r="Z18" s="1">
        <f t="shared" si="6"/>
        <v>454.87893444999986</v>
      </c>
      <c r="AA18" s="1">
        <f t="shared" si="6"/>
        <v>432.13498772749983</v>
      </c>
      <c r="AB18" s="1">
        <f t="shared" si="6"/>
        <v>410.52823834112485</v>
      </c>
      <c r="AC18" s="1"/>
      <c r="AD18" s="1"/>
      <c r="AE18" s="1"/>
      <c r="AF18" s="1"/>
      <c r="AG18" s="1"/>
    </row>
    <row r="19" spans="1:42" x14ac:dyDescent="0.2">
      <c r="A19" s="2" t="s">
        <v>26</v>
      </c>
      <c r="D19" s="8">
        <v>321.49400000000003</v>
      </c>
      <c r="E19" s="10">
        <v>334.28199999999998</v>
      </c>
      <c r="F19" s="10">
        <v>356.39300000000003</v>
      </c>
      <c r="G19" s="10">
        <v>360.45399999999995</v>
      </c>
      <c r="H19" s="10">
        <v>315.19399999999996</v>
      </c>
      <c r="I19" s="10">
        <v>327.21699999999998</v>
      </c>
      <c r="J19" s="10">
        <v>327.399</v>
      </c>
      <c r="K19" s="10">
        <v>318.48599999999999</v>
      </c>
      <c r="L19" s="10">
        <v>351.28300000000002</v>
      </c>
      <c r="M19" s="10">
        <v>363.82600000000002</v>
      </c>
      <c r="U19" s="1">
        <f>+U17+U18</f>
        <v>1359.2579999999998</v>
      </c>
      <c r="V19" s="1">
        <f>+V17+V18</f>
        <v>1360.9939999999999</v>
      </c>
      <c r="W19" s="1">
        <f t="shared" ref="W19:AB19" si="7">+W17+W18</f>
        <v>1453.4486999999999</v>
      </c>
      <c r="X19" s="1">
        <f t="shared" si="7"/>
        <v>1565.3563249999997</v>
      </c>
      <c r="Y19" s="1">
        <f t="shared" si="7"/>
        <v>1699.3555777499996</v>
      </c>
      <c r="Z19" s="1">
        <f t="shared" si="7"/>
        <v>1858.4949282124994</v>
      </c>
      <c r="AA19" s="1">
        <f t="shared" si="7"/>
        <v>2046.2933805543744</v>
      </c>
      <c r="AB19" s="1">
        <f t="shared" si="7"/>
        <v>2266.8103900920305</v>
      </c>
      <c r="AC19" s="1"/>
      <c r="AD19" s="1"/>
      <c r="AE19" s="1"/>
      <c r="AF19" s="1"/>
      <c r="AG19" s="1"/>
    </row>
    <row r="20" spans="1:42" x14ac:dyDescent="0.2">
      <c r="A20" s="2" t="s">
        <v>28</v>
      </c>
      <c r="D20" s="10">
        <f t="shared" ref="D20:L20" si="8">+D16-D19</f>
        <v>-131.17700000000002</v>
      </c>
      <c r="E20" s="10">
        <f t="shared" si="8"/>
        <v>-106.65399999999997</v>
      </c>
      <c r="F20" s="10">
        <f t="shared" si="8"/>
        <v>-137.91000000000003</v>
      </c>
      <c r="G20" s="10">
        <f t="shared" si="8"/>
        <v>-133.33999999999995</v>
      </c>
      <c r="H20" s="10">
        <f t="shared" si="8"/>
        <v>-20.402999999999963</v>
      </c>
      <c r="I20" s="10">
        <f t="shared" si="8"/>
        <v>25.388000000000034</v>
      </c>
      <c r="J20" s="10">
        <f t="shared" si="8"/>
        <v>35.505999999999972</v>
      </c>
      <c r="K20" s="10">
        <f t="shared" si="8"/>
        <v>-0.10000000000002274</v>
      </c>
      <c r="L20" s="10">
        <f t="shared" si="8"/>
        <v>24.226999999999975</v>
      </c>
      <c r="M20" s="10">
        <f>+M16-M19</f>
        <v>162.32500000000005</v>
      </c>
      <c r="O20" s="2" t="s">
        <v>20</v>
      </c>
      <c r="U20" s="3">
        <f>+U16-U19</f>
        <v>-266.26499999999987</v>
      </c>
      <c r="V20" s="3">
        <f>+V16-V19</f>
        <v>221.95799999999986</v>
      </c>
      <c r="W20" s="3">
        <f t="shared" ref="W20:AB20" si="9">+W16-W19</f>
        <v>796.79130000000032</v>
      </c>
      <c r="X20" s="3">
        <f t="shared" si="9"/>
        <v>1221.3636750000005</v>
      </c>
      <c r="Y20" s="3">
        <f t="shared" si="9"/>
        <v>1013.4924222500003</v>
      </c>
      <c r="Z20" s="3">
        <f t="shared" si="9"/>
        <v>787.86827178750036</v>
      </c>
      <c r="AA20" s="3">
        <f t="shared" si="9"/>
        <v>540.23349944562551</v>
      </c>
      <c r="AB20" s="3">
        <f t="shared" si="9"/>
        <v>265.8638019079699</v>
      </c>
      <c r="AC20" s="1"/>
      <c r="AD20" s="1"/>
      <c r="AE20" s="1"/>
      <c r="AF20" s="1"/>
      <c r="AG20" s="1"/>
    </row>
    <row r="21" spans="1:42" x14ac:dyDescent="0.2">
      <c r="A21" s="2" t="s">
        <v>34</v>
      </c>
      <c r="D21" s="8">
        <v>-6.3220000000000001</v>
      </c>
      <c r="E21" s="10">
        <v>5.5270000000000001</v>
      </c>
      <c r="F21" s="10">
        <v>12.707000000000001</v>
      </c>
      <c r="G21" s="10">
        <v>16.934000000000001</v>
      </c>
      <c r="H21" s="8">
        <v>-12.332000000000001</v>
      </c>
      <c r="I21" s="10">
        <v>15.746</v>
      </c>
      <c r="J21" s="10">
        <v>6.5430000000000001</v>
      </c>
      <c r="K21" s="10">
        <v>14.278</v>
      </c>
      <c r="L21" s="10">
        <v>11.81</v>
      </c>
      <c r="M21" s="10">
        <v>10.061999999999999</v>
      </c>
      <c r="U21" s="1">
        <f t="shared" ref="U21:U23" si="10">+SUM(F21:I21)</f>
        <v>33.055</v>
      </c>
      <c r="V21" s="1">
        <f>+SUM(J21:M21)</f>
        <v>42.692999999999998</v>
      </c>
      <c r="W21" s="1">
        <f>+V32*$P$23</f>
        <v>14.033239999999996</v>
      </c>
      <c r="X21" s="1">
        <f t="shared" ref="X21:AB21" si="11">+W32*$P$23</f>
        <v>52.952817920000015</v>
      </c>
      <c r="Y21" s="1">
        <f t="shared" si="11"/>
        <v>114.12000958016004</v>
      </c>
      <c r="Z21" s="1">
        <f t="shared" si="11"/>
        <v>168.24540630800774</v>
      </c>
      <c r="AA21" s="1">
        <f t="shared" si="11"/>
        <v>214.13886285659214</v>
      </c>
      <c r="AB21" s="1">
        <f t="shared" si="11"/>
        <v>250.34873624709857</v>
      </c>
      <c r="AC21" s="1"/>
      <c r="AD21" s="1"/>
      <c r="AE21" s="1"/>
      <c r="AF21" s="1"/>
      <c r="AG21" s="1"/>
    </row>
    <row r="22" spans="1:42" x14ac:dyDescent="0.2">
      <c r="A22" s="2" t="s">
        <v>29</v>
      </c>
      <c r="B22" s="5"/>
      <c r="C22" s="5"/>
      <c r="D22" s="10">
        <f t="shared" ref="D22:L22" si="12">+D20+D21</f>
        <v>-137.49900000000002</v>
      </c>
      <c r="E22" s="10">
        <f t="shared" si="12"/>
        <v>-101.12699999999997</v>
      </c>
      <c r="F22" s="10">
        <f t="shared" si="12"/>
        <v>-125.20300000000003</v>
      </c>
      <c r="G22" s="10">
        <f t="shared" si="12"/>
        <v>-116.40599999999995</v>
      </c>
      <c r="H22" s="10">
        <f t="shared" si="12"/>
        <v>-32.734999999999964</v>
      </c>
      <c r="I22" s="10">
        <f t="shared" si="12"/>
        <v>41.134000000000036</v>
      </c>
      <c r="J22" s="10">
        <f t="shared" si="12"/>
        <v>42.048999999999971</v>
      </c>
      <c r="K22" s="10">
        <f t="shared" si="12"/>
        <v>14.177999999999978</v>
      </c>
      <c r="L22" s="10">
        <f t="shared" si="12"/>
        <v>36.036999999999978</v>
      </c>
      <c r="M22" s="10">
        <f>+M20+M21</f>
        <v>172.38700000000006</v>
      </c>
      <c r="O22" s="2" t="s">
        <v>57</v>
      </c>
      <c r="P22" s="5">
        <v>0.1</v>
      </c>
      <c r="U22" s="3">
        <f>+U20+U21</f>
        <v>-233.20999999999987</v>
      </c>
      <c r="V22" s="3">
        <f>+V20+V21</f>
        <v>264.65099999999984</v>
      </c>
      <c r="W22" s="3">
        <f t="shared" ref="W22:AB22" si="13">+W20+W21</f>
        <v>810.8245400000003</v>
      </c>
      <c r="X22" s="3">
        <f t="shared" si="13"/>
        <v>1274.3164929200004</v>
      </c>
      <c r="Y22" s="3">
        <f t="shared" si="13"/>
        <v>1127.6124318301604</v>
      </c>
      <c r="Z22" s="3">
        <f t="shared" si="13"/>
        <v>956.11367809550813</v>
      </c>
      <c r="AA22" s="3">
        <f t="shared" si="13"/>
        <v>754.37236230221765</v>
      </c>
      <c r="AB22" s="3">
        <f t="shared" si="13"/>
        <v>516.2125381550685</v>
      </c>
      <c r="AC22" s="1"/>
      <c r="AD22" s="1"/>
      <c r="AE22" s="1"/>
      <c r="AF22" s="1"/>
      <c r="AG22" s="1"/>
    </row>
    <row r="23" spans="1:42" x14ac:dyDescent="0.2">
      <c r="A23" s="2" t="s">
        <v>30</v>
      </c>
      <c r="D23" s="8">
        <v>0</v>
      </c>
      <c r="E23" s="10">
        <v>7.9379999999999997</v>
      </c>
      <c r="F23" s="10">
        <v>4.0449999999999999</v>
      </c>
      <c r="G23" s="10">
        <v>9.3550000000000004</v>
      </c>
      <c r="H23" s="8">
        <v>7.7629999999999999</v>
      </c>
      <c r="I23" s="10">
        <v>-5.2839999999999998</v>
      </c>
      <c r="J23" s="10">
        <v>5.3289999999999997</v>
      </c>
      <c r="K23" s="10">
        <v>7.117</v>
      </c>
      <c r="L23" s="10">
        <v>0.39500000000000002</v>
      </c>
      <c r="M23" s="10">
        <v>12.694000000000001</v>
      </c>
      <c r="O23" s="2" t="s">
        <v>43</v>
      </c>
      <c r="P23" s="6">
        <v>0.04</v>
      </c>
      <c r="Q23" s="6"/>
      <c r="R23" s="6"/>
      <c r="U23" s="1">
        <f t="shared" si="10"/>
        <v>15.879000000000001</v>
      </c>
      <c r="V23" s="1">
        <f>+SUM(J23:M23)</f>
        <v>25.535</v>
      </c>
      <c r="W23" s="1">
        <f>+W22*0.2</f>
        <v>162.16490800000008</v>
      </c>
      <c r="X23" s="1">
        <f t="shared" ref="X23:AB23" si="14">+X22*0.2</f>
        <v>254.86329858400009</v>
      </c>
      <c r="Y23" s="1">
        <f t="shared" si="14"/>
        <v>225.5224863660321</v>
      </c>
      <c r="Z23" s="1">
        <f t="shared" si="14"/>
        <v>191.22273561910163</v>
      </c>
      <c r="AA23" s="1">
        <f t="shared" si="14"/>
        <v>150.87447246044354</v>
      </c>
      <c r="AB23" s="1">
        <f t="shared" si="14"/>
        <v>103.24250763101371</v>
      </c>
      <c r="AC23" s="1"/>
      <c r="AD23" s="1"/>
      <c r="AE23" s="1"/>
      <c r="AF23" s="1"/>
      <c r="AG23" s="1"/>
    </row>
    <row r="24" spans="1:42" ht="15" x14ac:dyDescent="0.25">
      <c r="A24" s="2" t="s">
        <v>31</v>
      </c>
      <c r="D24" s="10">
        <f t="shared" ref="D24:L24" si="15">+D22+D23</f>
        <v>-137.49900000000002</v>
      </c>
      <c r="E24" s="10">
        <f t="shared" si="15"/>
        <v>-93.188999999999965</v>
      </c>
      <c r="F24" s="10">
        <f t="shared" si="15"/>
        <v>-121.15800000000003</v>
      </c>
      <c r="G24" s="10">
        <f t="shared" si="15"/>
        <v>-107.05099999999995</v>
      </c>
      <c r="H24" s="10">
        <f t="shared" si="15"/>
        <v>-24.971999999999966</v>
      </c>
      <c r="I24" s="10">
        <f t="shared" si="15"/>
        <v>35.850000000000037</v>
      </c>
      <c r="J24" s="10">
        <f t="shared" si="15"/>
        <v>47.377999999999972</v>
      </c>
      <c r="K24" s="10">
        <f t="shared" si="15"/>
        <v>21.294999999999977</v>
      </c>
      <c r="L24" s="10">
        <f t="shared" si="15"/>
        <v>36.431999999999981</v>
      </c>
      <c r="M24" s="10">
        <f>+M22+M23</f>
        <v>185.08100000000005</v>
      </c>
      <c r="O24" s="2" t="s">
        <v>44</v>
      </c>
      <c r="P24" s="7">
        <f>+NPV(P22,W24:AP24)</f>
        <v>7287.4148702001521</v>
      </c>
      <c r="Q24" s="7"/>
      <c r="R24" s="7"/>
      <c r="S24" s="15" t="s">
        <v>20</v>
      </c>
      <c r="T24" s="15">
        <v>-703.48800000000006</v>
      </c>
      <c r="U24" s="4">
        <f>+U22+U23</f>
        <v>-217.33099999999988</v>
      </c>
      <c r="V24" s="4">
        <f>+V22+V23</f>
        <v>290.18599999999986</v>
      </c>
      <c r="W24" s="4">
        <f t="shared" ref="W24:AB24" si="16">+W22+W23</f>
        <v>972.98944800000038</v>
      </c>
      <c r="X24" s="4">
        <f t="shared" si="16"/>
        <v>1529.1797915040006</v>
      </c>
      <c r="Y24" s="4">
        <f t="shared" si="16"/>
        <v>1353.1349181961925</v>
      </c>
      <c r="Z24" s="4">
        <f t="shared" si="16"/>
        <v>1147.3364137146098</v>
      </c>
      <c r="AA24" s="4">
        <f t="shared" si="16"/>
        <v>905.24683476266114</v>
      </c>
      <c r="AB24" s="4">
        <f t="shared" si="16"/>
        <v>619.45504578608222</v>
      </c>
      <c r="AC24" s="14">
        <f>+AB24*0.99</f>
        <v>613.2604953282214</v>
      </c>
      <c r="AD24" s="14">
        <f t="shared" ref="AD24:AP24" si="17">+AC24*0.99</f>
        <v>607.12789037493917</v>
      </c>
      <c r="AE24" s="14">
        <f t="shared" si="17"/>
        <v>601.05661147118974</v>
      </c>
      <c r="AF24" s="14">
        <f t="shared" si="17"/>
        <v>595.04604535647786</v>
      </c>
      <c r="AG24" s="14">
        <f t="shared" si="17"/>
        <v>589.09558490291306</v>
      </c>
      <c r="AH24" s="14">
        <f t="shared" si="17"/>
        <v>583.20462905388388</v>
      </c>
      <c r="AI24" s="14">
        <f t="shared" si="17"/>
        <v>577.37258276334501</v>
      </c>
      <c r="AJ24" s="14">
        <f t="shared" si="17"/>
        <v>571.59885693571152</v>
      </c>
      <c r="AK24" s="14">
        <f t="shared" si="17"/>
        <v>565.88286836635439</v>
      </c>
      <c r="AL24" s="14">
        <f t="shared" si="17"/>
        <v>560.22403968269089</v>
      </c>
      <c r="AM24" s="14">
        <f t="shared" si="17"/>
        <v>554.62179928586397</v>
      </c>
      <c r="AN24" s="14">
        <f t="shared" si="17"/>
        <v>549.07558129300537</v>
      </c>
      <c r="AO24" s="14">
        <f t="shared" si="17"/>
        <v>543.58482548007532</v>
      </c>
      <c r="AP24" s="14">
        <f t="shared" si="17"/>
        <v>538.14897722527462</v>
      </c>
    </row>
    <row r="25" spans="1:42" x14ac:dyDescent="0.2">
      <c r="A25" s="2" t="s">
        <v>32</v>
      </c>
      <c r="D25" s="16">
        <f t="shared" ref="D25:L25" si="18">+D24/D26</f>
        <v>-1.5691217419089791</v>
      </c>
      <c r="E25" s="16">
        <f t="shared" si="18"/>
        <v>-1.0609189644572961</v>
      </c>
      <c r="F25" s="16">
        <f t="shared" si="18"/>
        <v>-1.3738915474111539</v>
      </c>
      <c r="G25" s="16">
        <f t="shared" si="18"/>
        <v>-1.2063035957765678</v>
      </c>
      <c r="H25" s="16">
        <f t="shared" si="18"/>
        <v>-0.28093464883168862</v>
      </c>
      <c r="I25" s="16">
        <f t="shared" si="18"/>
        <v>0.33950792658673823</v>
      </c>
      <c r="J25" s="16">
        <f t="shared" si="18"/>
        <v>0.47801521480315567</v>
      </c>
      <c r="K25" s="16">
        <f t="shared" si="18"/>
        <v>0.2147885903332524</v>
      </c>
      <c r="L25" s="16">
        <f t="shared" si="18"/>
        <v>0.36269512583625341</v>
      </c>
      <c r="M25" s="16">
        <f>+M24/M26</f>
        <v>1.7062245330678323</v>
      </c>
      <c r="O25" s="2" t="s">
        <v>73</v>
      </c>
      <c r="P25" s="2">
        <f>+P24/main!C3</f>
        <v>75.205519816307032</v>
      </c>
      <c r="U25" s="3">
        <f>+U24/U26</f>
        <v>-2.3405921187252958</v>
      </c>
      <c r="V25" s="3">
        <f>+V24/V26</f>
        <v>2.8506901124809652</v>
      </c>
      <c r="W25" s="3">
        <f t="shared" ref="W25:AB25" si="19">+W24/W26</f>
        <v>9.5583225895181521</v>
      </c>
      <c r="X25" s="3">
        <f t="shared" si="19"/>
        <v>15.022150316852503</v>
      </c>
      <c r="Y25" s="3">
        <f t="shared" si="19"/>
        <v>13.292744419629575</v>
      </c>
      <c r="Z25" s="3">
        <f t="shared" si="19"/>
        <v>11.271048810988848</v>
      </c>
      <c r="AA25" s="3">
        <f t="shared" si="19"/>
        <v>8.8928418366585902</v>
      </c>
      <c r="AB25" s="3">
        <f t="shared" si="19"/>
        <v>6.085318982131561</v>
      </c>
      <c r="AC25" s="1"/>
      <c r="AD25" s="1"/>
      <c r="AE25" s="1"/>
      <c r="AF25" s="1"/>
      <c r="AG25" s="1"/>
    </row>
    <row r="26" spans="1:42" ht="15" x14ac:dyDescent="0.25">
      <c r="A26" s="2" t="s">
        <v>33</v>
      </c>
      <c r="D26" s="8">
        <v>87.628</v>
      </c>
      <c r="E26" s="10">
        <v>87.837999999999994</v>
      </c>
      <c r="F26" s="10">
        <v>88.186000000000007</v>
      </c>
      <c r="G26" s="10">
        <v>88.742999999999995</v>
      </c>
      <c r="H26" s="8">
        <v>88.888999999999996</v>
      </c>
      <c r="I26" s="10">
        <v>105.59399999999999</v>
      </c>
      <c r="J26" s="10">
        <v>99.114000000000004</v>
      </c>
      <c r="K26" s="10">
        <v>99.144000000000005</v>
      </c>
      <c r="L26" s="10">
        <v>100.44799999999999</v>
      </c>
      <c r="M26" s="10">
        <v>108.474</v>
      </c>
      <c r="O26" s="15" t="s">
        <v>74</v>
      </c>
      <c r="P26" s="17">
        <f>+P25/main!C2-1</f>
        <v>0.36737308756921871</v>
      </c>
      <c r="U26" s="1">
        <f>+AVERAGE(F26:I26)</f>
        <v>92.852999999999994</v>
      </c>
      <c r="V26" s="1">
        <f>+AVERAGE(J26:M26)</f>
        <v>101.795</v>
      </c>
      <c r="W26" s="1">
        <f>+V26</f>
        <v>101.795</v>
      </c>
      <c r="X26" s="1">
        <f t="shared" ref="X26:AB26" si="20">+W26</f>
        <v>101.795</v>
      </c>
      <c r="Y26" s="1">
        <f t="shared" si="20"/>
        <v>101.795</v>
      </c>
      <c r="Z26" s="1">
        <f t="shared" si="20"/>
        <v>101.795</v>
      </c>
      <c r="AA26" s="1">
        <f t="shared" si="20"/>
        <v>101.795</v>
      </c>
      <c r="AB26" s="1">
        <f t="shared" si="20"/>
        <v>101.795</v>
      </c>
      <c r="AC26" s="1"/>
      <c r="AD26" s="1"/>
      <c r="AE26" s="1"/>
      <c r="AF26" s="1"/>
      <c r="AG26" s="1"/>
    </row>
    <row r="27" spans="1:42" x14ac:dyDescent="0.2"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42" x14ac:dyDescent="0.2">
      <c r="A28" s="2" t="s">
        <v>35</v>
      </c>
      <c r="D28" s="5">
        <f t="shared" ref="D28:L28" si="21">+D16/D14</f>
        <v>0.82649857340762323</v>
      </c>
      <c r="E28" s="5">
        <f t="shared" si="21"/>
        <v>0.88082127641461605</v>
      </c>
      <c r="F28" s="5">
        <f t="shared" si="21"/>
        <v>0.8618658777120316</v>
      </c>
      <c r="G28" s="5">
        <f t="shared" si="21"/>
        <v>0.86937581821940146</v>
      </c>
      <c r="H28" s="5">
        <f t="shared" si="21"/>
        <v>0.88841439709237313</v>
      </c>
      <c r="I28" s="5">
        <f t="shared" si="21"/>
        <v>0.88866402373097508</v>
      </c>
      <c r="J28" s="5">
        <f t="shared" si="21"/>
        <v>0.87771849544337588</v>
      </c>
      <c r="K28" s="5">
        <f t="shared" si="21"/>
        <v>0.87726317123640574</v>
      </c>
      <c r="L28" s="5">
        <f t="shared" si="21"/>
        <v>0.80374399883561887</v>
      </c>
      <c r="M28" s="5">
        <f>+M16/M14</f>
        <v>0.79906903281165764</v>
      </c>
      <c r="U28" s="5">
        <f t="shared" ref="U28:AB28" si="22">+U16/U14</f>
        <v>0.87908095639473149</v>
      </c>
      <c r="V28" s="5">
        <f t="shared" si="22"/>
        <v>0.83223425659984918</v>
      </c>
      <c r="W28" s="5">
        <f t="shared" si="22"/>
        <v>0.8</v>
      </c>
      <c r="X28" s="5">
        <f t="shared" si="22"/>
        <v>0.8</v>
      </c>
      <c r="Y28" s="5">
        <f t="shared" si="22"/>
        <v>0.8</v>
      </c>
      <c r="Z28" s="5">
        <f t="shared" si="22"/>
        <v>0.8</v>
      </c>
      <c r="AA28" s="5">
        <f t="shared" si="22"/>
        <v>0.8</v>
      </c>
      <c r="AB28" s="5">
        <f t="shared" si="22"/>
        <v>0.80000000000000016</v>
      </c>
      <c r="AC28" s="1"/>
      <c r="AD28" s="1"/>
      <c r="AE28" s="1"/>
      <c r="AF28" s="1"/>
      <c r="AG28" s="1"/>
    </row>
    <row r="29" spans="1:42" x14ac:dyDescent="0.2">
      <c r="A29" s="2" t="s">
        <v>21</v>
      </c>
      <c r="D29" s="5"/>
      <c r="E29" s="5"/>
      <c r="F29" s="5"/>
      <c r="G29" s="5"/>
      <c r="H29" s="5">
        <f t="shared" ref="H29:K29" si="23">+H14/D14-1</f>
        <v>0.44099726841216147</v>
      </c>
      <c r="I29" s="5">
        <f t="shared" si="23"/>
        <v>0.5353697562561186</v>
      </c>
      <c r="J29" s="5">
        <f t="shared" si="23"/>
        <v>0.63102169625246551</v>
      </c>
      <c r="K29" s="5">
        <f t="shared" si="23"/>
        <v>0.38927338289222857</v>
      </c>
      <c r="L29" s="5">
        <f>+L14/H14-1</f>
        <v>0.40800802852174556</v>
      </c>
      <c r="M29" s="5">
        <f>+M14/I14-1</f>
        <v>0.65949226399449579</v>
      </c>
      <c r="U29" s="5" t="s">
        <v>20</v>
      </c>
      <c r="V29" s="5">
        <f>+V14/U14-1</f>
        <v>0.52979645083871119</v>
      </c>
      <c r="W29" s="5">
        <f t="shared" ref="W29:AB29" si="24">+W14/V14-1</f>
        <v>0.47882470028406199</v>
      </c>
      <c r="X29" s="5">
        <f t="shared" si="24"/>
        <v>0.23841012514220705</v>
      </c>
      <c r="Y29" s="5">
        <f t="shared" si="24"/>
        <v>-2.6508583567778632E-2</v>
      </c>
      <c r="Z29" s="5">
        <f t="shared" si="24"/>
        <v>-2.4507381172848675E-2</v>
      </c>
      <c r="AA29" s="5">
        <f t="shared" si="24"/>
        <v>-2.2610773910399007E-2</v>
      </c>
      <c r="AB29" s="5">
        <f t="shared" si="24"/>
        <v>-2.0820463307924197E-2</v>
      </c>
      <c r="AC29" s="1"/>
      <c r="AD29" s="1"/>
      <c r="AE29" s="1"/>
      <c r="AF29" s="1"/>
      <c r="AG29" s="1"/>
    </row>
    <row r="30" spans="1:42" x14ac:dyDescent="0.2">
      <c r="A30" s="2" t="s">
        <v>46</v>
      </c>
      <c r="D30" s="5">
        <f t="shared" ref="D30:L30" si="25">+D17/D14</f>
        <v>0.94110366571270987</v>
      </c>
      <c r="E30" s="5">
        <f t="shared" si="25"/>
        <v>0.82732841382672861</v>
      </c>
      <c r="F30" s="5">
        <f t="shared" si="25"/>
        <v>0.96914792899408286</v>
      </c>
      <c r="G30" s="5">
        <f t="shared" si="25"/>
        <v>0.9259372679319241</v>
      </c>
      <c r="H30" s="5">
        <f t="shared" si="25"/>
        <v>0.58556674311442747</v>
      </c>
      <c r="I30" s="5">
        <f t="shared" si="25"/>
        <v>0.49275796976165692</v>
      </c>
      <c r="J30" s="5">
        <f t="shared" si="25"/>
        <v>0.48467581216260663</v>
      </c>
      <c r="K30" s="5">
        <f t="shared" si="25"/>
        <v>0.49510788552093926</v>
      </c>
      <c r="L30" s="5">
        <f t="shared" si="25"/>
        <v>0.47620403209753404</v>
      </c>
      <c r="M30" s="5">
        <f>+M17/M14</f>
        <v>0.3036699546666059</v>
      </c>
      <c r="U30" s="5"/>
      <c r="V30" s="5"/>
      <c r="W30" s="5"/>
      <c r="X30" s="5"/>
      <c r="Y30" s="5"/>
      <c r="Z30" s="5"/>
      <c r="AA30" s="5"/>
      <c r="AB30" s="5"/>
      <c r="AC30" s="1"/>
      <c r="AD30" s="1"/>
      <c r="AE30" s="1"/>
      <c r="AF30" s="1"/>
      <c r="AG30" s="1"/>
    </row>
    <row r="32" spans="1:42" x14ac:dyDescent="0.2">
      <c r="A32" s="2" t="s">
        <v>45</v>
      </c>
      <c r="U32" s="2">
        <f>428.43+1247.82-105.483-1132.515</f>
        <v>438.25199999999995</v>
      </c>
      <c r="V32" s="2">
        <f>1103.01+251.782+133.163-1137.124</f>
        <v>350.8309999999999</v>
      </c>
      <c r="W32" s="1">
        <f>+V32+W24</f>
        <v>1323.8204480000004</v>
      </c>
      <c r="X32" s="1">
        <f t="shared" ref="X32:AB32" si="26">+W32+X24</f>
        <v>2853.000239504001</v>
      </c>
      <c r="Y32" s="1">
        <f t="shared" si="26"/>
        <v>4206.1351577001933</v>
      </c>
      <c r="Z32" s="1">
        <f t="shared" si="26"/>
        <v>5353.4715714148033</v>
      </c>
      <c r="AA32" s="1">
        <f t="shared" si="26"/>
        <v>6258.7184061774642</v>
      </c>
      <c r="AB32" s="1">
        <f t="shared" si="26"/>
        <v>6878.1734519635465</v>
      </c>
    </row>
    <row r="33" spans="1:22" x14ac:dyDescent="0.2">
      <c r="A33" s="2" t="s">
        <v>3</v>
      </c>
      <c r="U33" s="2">
        <f>428.43+1247.82</f>
        <v>1676.25</v>
      </c>
    </row>
    <row r="34" spans="1:22" x14ac:dyDescent="0.2">
      <c r="A34" s="2" t="s">
        <v>47</v>
      </c>
      <c r="U34" s="2">
        <v>400.327</v>
      </c>
    </row>
    <row r="35" spans="1:22" x14ac:dyDescent="0.2">
      <c r="A35" s="2" t="s">
        <v>48</v>
      </c>
      <c r="U35" s="2">
        <f>322.859+191.368</f>
        <v>514.22699999999998</v>
      </c>
    </row>
    <row r="36" spans="1:22" x14ac:dyDescent="0.2">
      <c r="A36" s="2" t="s">
        <v>49</v>
      </c>
      <c r="U36" s="2">
        <v>102.181</v>
      </c>
    </row>
    <row r="37" spans="1:22" x14ac:dyDescent="0.2">
      <c r="A37" s="2" t="s">
        <v>50</v>
      </c>
      <c r="U37" s="2">
        <v>77.713999999999999</v>
      </c>
    </row>
    <row r="38" spans="1:22" x14ac:dyDescent="0.2">
      <c r="A38" s="2" t="s">
        <v>51</v>
      </c>
      <c r="U38" s="2">
        <v>227.154</v>
      </c>
    </row>
    <row r="39" spans="1:22" x14ac:dyDescent="0.2">
      <c r="A39" s="2" t="s">
        <v>52</v>
      </c>
      <c r="U39" s="2">
        <v>129.952</v>
      </c>
      <c r="V39" s="2" t="s">
        <v>20</v>
      </c>
    </row>
    <row r="40" spans="1:22" x14ac:dyDescent="0.2">
      <c r="A40" s="2" t="s">
        <v>53</v>
      </c>
      <c r="U40" s="2">
        <v>136.77099999999999</v>
      </c>
    </row>
    <row r="41" spans="1:22" x14ac:dyDescent="0.2">
      <c r="A41" s="2" t="s">
        <v>54</v>
      </c>
      <c r="U41" s="2">
        <f>+SUM(U33:U40)</f>
        <v>3264.5760000000005</v>
      </c>
      <c r="V41" s="2">
        <v>3963.1729999999998</v>
      </c>
    </row>
    <row r="43" spans="1:22" x14ac:dyDescent="0.2">
      <c r="A43" s="2" t="s">
        <v>4</v>
      </c>
      <c r="U43" s="2">
        <f>105.483+1132.515</f>
        <v>1237.998</v>
      </c>
    </row>
    <row r="44" spans="1:22" x14ac:dyDescent="0.2">
      <c r="A44" s="2" t="s">
        <v>55</v>
      </c>
      <c r="U44" s="2">
        <v>164.91800000000001</v>
      </c>
    </row>
    <row r="45" spans="1:22" x14ac:dyDescent="0.2">
      <c r="A45" s="2" t="s">
        <v>56</v>
      </c>
      <c r="U45" s="2">
        <v>314.99700000000001</v>
      </c>
    </row>
    <row r="46" spans="1:22" x14ac:dyDescent="0.2">
      <c r="A46" s="2" t="s">
        <v>57</v>
      </c>
      <c r="U46" s="2">
        <v>50.415999999999997</v>
      </c>
    </row>
    <row r="47" spans="1:22" x14ac:dyDescent="0.2">
      <c r="A47" s="2" t="s">
        <v>58</v>
      </c>
      <c r="U47" s="2">
        <v>17.844999999999999</v>
      </c>
    </row>
    <row r="48" spans="1:22" x14ac:dyDescent="0.2">
      <c r="A48" s="2" t="s">
        <v>62</v>
      </c>
      <c r="U48" s="2">
        <v>140.965</v>
      </c>
    </row>
    <row r="49" spans="1:22" x14ac:dyDescent="0.2">
      <c r="A49" s="2" t="s">
        <v>57</v>
      </c>
      <c r="U49" s="2">
        <v>437</v>
      </c>
    </row>
    <row r="50" spans="1:22" x14ac:dyDescent="0.2">
      <c r="A50" s="2" t="s">
        <v>60</v>
      </c>
      <c r="U50" s="2">
        <v>38.1</v>
      </c>
    </row>
    <row r="51" spans="1:22" x14ac:dyDescent="0.2">
      <c r="A51" s="2" t="s">
        <v>59</v>
      </c>
      <c r="U51" s="2">
        <v>3</v>
      </c>
    </row>
    <row r="52" spans="1:22" x14ac:dyDescent="0.2">
      <c r="A52" s="2" t="s">
        <v>61</v>
      </c>
      <c r="U52" s="2">
        <f>+SUM(U43:U51)</f>
        <v>2405.239</v>
      </c>
      <c r="V52" s="2">
        <v>2435.431</v>
      </c>
    </row>
    <row r="53" spans="1:22" x14ac:dyDescent="0.2">
      <c r="A53" s="2" t="s">
        <v>63</v>
      </c>
      <c r="U53" s="2">
        <f>+U41-U52</f>
        <v>859.33700000000044</v>
      </c>
      <c r="V53" s="2">
        <f>+V41-V52</f>
        <v>1527.7419999999997</v>
      </c>
    </row>
    <row r="54" spans="1:22" x14ac:dyDescent="0.2">
      <c r="A54" s="2" t="s">
        <v>64</v>
      </c>
      <c r="U54" s="2">
        <f>+U52+U53</f>
        <v>3264.5760000000005</v>
      </c>
      <c r="V54" s="2">
        <f>+V52+V53</f>
        <v>3963.1729999999998</v>
      </c>
    </row>
    <row r="56" spans="1:22" x14ac:dyDescent="0.2">
      <c r="A56" s="2" t="s">
        <v>65</v>
      </c>
      <c r="U56" s="5">
        <f>+U24/U53</f>
        <v>-0.2529054375640753</v>
      </c>
      <c r="V56" s="5">
        <f>+V24/V53</f>
        <v>0.18994437542464626</v>
      </c>
    </row>
    <row r="57" spans="1:22" x14ac:dyDescent="0.2">
      <c r="A57" s="2" t="s">
        <v>66</v>
      </c>
      <c r="U57" s="5">
        <f>+U24/U41</f>
        <v>-6.6572504361975288E-2</v>
      </c>
      <c r="V57" s="5">
        <f>+V24/V41</f>
        <v>7.3220623979826233E-2</v>
      </c>
    </row>
    <row r="59" spans="1:22" x14ac:dyDescent="0.2">
      <c r="A59" s="2" t="s">
        <v>67</v>
      </c>
      <c r="P59" s="2">
        <v>-456.5</v>
      </c>
      <c r="S59" s="2">
        <v>-443.2</v>
      </c>
      <c r="T59" s="2">
        <v>-325.3</v>
      </c>
      <c r="U59" s="2">
        <v>-501</v>
      </c>
      <c r="V59" s="2">
        <v>325.346</v>
      </c>
    </row>
    <row r="60" spans="1:22" x14ac:dyDescent="0.2">
      <c r="A60" s="2" t="s">
        <v>68</v>
      </c>
      <c r="P60" s="2">
        <v>286</v>
      </c>
      <c r="S60" s="2">
        <v>495.4</v>
      </c>
      <c r="T60" s="2">
        <v>-1046.9000000000001</v>
      </c>
      <c r="U60" s="2">
        <v>-165.8</v>
      </c>
      <c r="V60" s="2">
        <v>-1046.883</v>
      </c>
    </row>
    <row r="61" spans="1:22" x14ac:dyDescent="0.2">
      <c r="A61" s="2" t="s">
        <v>69</v>
      </c>
      <c r="P61" s="2">
        <v>642.6</v>
      </c>
      <c r="S61" s="2">
        <v>561.6</v>
      </c>
      <c r="T61" s="2">
        <v>232.5</v>
      </c>
      <c r="U61" s="2">
        <v>125</v>
      </c>
      <c r="V61" s="2">
        <v>232.50700000000001</v>
      </c>
    </row>
    <row r="62" spans="1:22" x14ac:dyDescent="0.2">
      <c r="A62" s="2" t="s">
        <v>70</v>
      </c>
      <c r="P62" s="2">
        <v>-82.2</v>
      </c>
      <c r="S62" s="2">
        <v>-38.5</v>
      </c>
      <c r="T62" s="2">
        <v>-30.8</v>
      </c>
      <c r="U62" s="2">
        <v>-76.099999999999994</v>
      </c>
      <c r="V62" s="2">
        <v>-30.824000000000002</v>
      </c>
    </row>
    <row r="63" spans="1:22" x14ac:dyDescent="0.2">
      <c r="A63" s="2" t="s">
        <v>71</v>
      </c>
      <c r="P63" s="2">
        <f t="shared" ref="P63:T63" si="27">+P59+P60+P61-P62</f>
        <v>554.30000000000007</v>
      </c>
      <c r="S63" s="2">
        <f t="shared" si="27"/>
        <v>652.29999999999995</v>
      </c>
      <c r="T63" s="2">
        <f t="shared" si="27"/>
        <v>-1108.9000000000001</v>
      </c>
      <c r="U63" s="2">
        <f>+U59+U60+U61-U62</f>
        <v>-465.69999999999993</v>
      </c>
      <c r="V63" s="2">
        <f>+V59+V60+V61-V62</f>
        <v>-458.20600000000002</v>
      </c>
    </row>
    <row r="64" spans="1:22" x14ac:dyDescent="0.2">
      <c r="A64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2025-04-17T20:31:35Z</dcterms:created>
  <dcterms:modified xsi:type="dcterms:W3CDTF">2025-04-18T12:01:21Z</dcterms:modified>
</cp:coreProperties>
</file>