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Financials/STOCKS/"/>
    </mc:Choice>
  </mc:AlternateContent>
  <xr:revisionPtr revIDLastSave="121" documentId="13_ncr:1_{9F7BAD96-7547-4D6D-BE3B-73568BA0B896}" xr6:coauthVersionLast="47" xr6:coauthVersionMax="47" xr10:uidLastSave="{C2C7F325-E987-4118-8818-A879367A5310}"/>
  <bookViews>
    <workbookView xWindow="-120" yWindow="-120" windowWidth="29040" windowHeight="15720" activeTab="1" xr2:uid="{62312A71-324F-4839-9299-0A548D8971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2" l="1"/>
  <c r="Y8" i="2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X8" i="2"/>
  <c r="W8" i="2"/>
  <c r="W11" i="2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W10" i="2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I2" i="2"/>
  <c r="AJ2" i="2" s="1"/>
  <c r="AK2" i="2" s="1"/>
  <c r="AL2" i="2" s="1"/>
  <c r="AM2" i="2" s="1"/>
  <c r="AI19" i="2"/>
  <c r="AJ19" i="2" s="1"/>
  <c r="AK19" i="2" s="1"/>
  <c r="AL19" i="2" s="1"/>
  <c r="AM19" i="2" s="1"/>
  <c r="W14" i="2"/>
  <c r="V28" i="2"/>
  <c r="V49" i="2"/>
  <c r="V44" i="2"/>
  <c r="V39" i="2"/>
  <c r="V37" i="2"/>
  <c r="V30" i="2"/>
  <c r="L30" i="2"/>
  <c r="W9" i="2" l="1"/>
  <c r="V47" i="2"/>
  <c r="V46" i="2"/>
  <c r="V50" i="2" s="1"/>
  <c r="O9" i="2"/>
  <c r="L7" i="1"/>
  <c r="V19" i="2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U19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E16" i="2"/>
  <c r="U16" i="2" s="1"/>
  <c r="E15" i="2"/>
  <c r="E14" i="2"/>
  <c r="U14" i="2" s="1"/>
  <c r="E11" i="2"/>
  <c r="U11" i="2" s="1"/>
  <c r="E10" i="2"/>
  <c r="U10" i="2" s="1"/>
  <c r="E7" i="2"/>
  <c r="U7" i="2" s="1"/>
  <c r="E6" i="2"/>
  <c r="D8" i="2"/>
  <c r="E4" i="2"/>
  <c r="U4" i="2" s="1"/>
  <c r="E3" i="2"/>
  <c r="U3" i="2" s="1"/>
  <c r="B12" i="2"/>
  <c r="B24" i="2"/>
  <c r="B17" i="2"/>
  <c r="B18" i="2" s="1"/>
  <c r="B8" i="2"/>
  <c r="B5" i="2"/>
  <c r="C24" i="2"/>
  <c r="C17" i="2"/>
  <c r="C12" i="2"/>
  <c r="C8" i="2"/>
  <c r="C5" i="2"/>
  <c r="D24" i="2"/>
  <c r="D17" i="2"/>
  <c r="D12" i="2"/>
  <c r="D5" i="2"/>
  <c r="I16" i="2"/>
  <c r="V16" i="2" s="1"/>
  <c r="I15" i="2"/>
  <c r="I14" i="2"/>
  <c r="V14" i="2" s="1"/>
  <c r="I11" i="2"/>
  <c r="V11" i="2" s="1"/>
  <c r="I10" i="2"/>
  <c r="I7" i="2"/>
  <c r="V7" i="2" s="1"/>
  <c r="I6" i="2"/>
  <c r="I4" i="2"/>
  <c r="V4" i="2" s="1"/>
  <c r="I3" i="2"/>
  <c r="V3" i="2" s="1"/>
  <c r="V5" i="2" s="1"/>
  <c r="F17" i="2"/>
  <c r="F12" i="2"/>
  <c r="F8" i="2"/>
  <c r="F5" i="2"/>
  <c r="J24" i="2"/>
  <c r="J17" i="2"/>
  <c r="J18" i="2" s="1"/>
  <c r="J12" i="2"/>
  <c r="J8" i="2"/>
  <c r="J5" i="2"/>
  <c r="G24" i="2"/>
  <c r="G17" i="2"/>
  <c r="G12" i="2"/>
  <c r="G8" i="2"/>
  <c r="G5" i="2"/>
  <c r="G26" i="2" s="1"/>
  <c r="K24" i="2"/>
  <c r="K17" i="2"/>
  <c r="K12" i="2"/>
  <c r="K8" i="2"/>
  <c r="K5" i="2"/>
  <c r="H24" i="2"/>
  <c r="H17" i="2"/>
  <c r="H18" i="2" s="1"/>
  <c r="H12" i="2"/>
  <c r="H8" i="2"/>
  <c r="H5" i="2"/>
  <c r="L39" i="2"/>
  <c r="L44" i="2" s="1"/>
  <c r="L37" i="2"/>
  <c r="L12" i="2"/>
  <c r="L8" i="2"/>
  <c r="L5" i="2"/>
  <c r="L6" i="1"/>
  <c r="L8" i="1"/>
  <c r="L28" i="2" l="1"/>
  <c r="U5" i="2"/>
  <c r="F26" i="2"/>
  <c r="U12" i="2"/>
  <c r="E24" i="2"/>
  <c r="E17" i="2"/>
  <c r="E18" i="2" s="1"/>
  <c r="E8" i="2"/>
  <c r="L26" i="2"/>
  <c r="I12" i="2"/>
  <c r="U15" i="2"/>
  <c r="U17" i="2" s="1"/>
  <c r="U18" i="2" s="1"/>
  <c r="J26" i="2"/>
  <c r="I17" i="2"/>
  <c r="I18" i="2" s="1"/>
  <c r="I8" i="2"/>
  <c r="H26" i="2"/>
  <c r="E12" i="2"/>
  <c r="V10" i="2"/>
  <c r="U6" i="2"/>
  <c r="U8" i="2" s="1"/>
  <c r="V6" i="2"/>
  <c r="V8" i="2" s="1"/>
  <c r="X9" i="2" s="1"/>
  <c r="E5" i="2"/>
  <c r="H9" i="2"/>
  <c r="H21" i="2" s="1"/>
  <c r="I5" i="2"/>
  <c r="V15" i="2"/>
  <c r="V17" i="2" s="1"/>
  <c r="L46" i="2"/>
  <c r="L47" i="2" s="1"/>
  <c r="L9" i="2"/>
  <c r="L13" i="2" s="1"/>
  <c r="K26" i="2"/>
  <c r="B23" i="2"/>
  <c r="B9" i="2"/>
  <c r="B21" i="2" s="1"/>
  <c r="H23" i="2"/>
  <c r="C9" i="2"/>
  <c r="C21" i="2" s="1"/>
  <c r="C23" i="2"/>
  <c r="C18" i="2"/>
  <c r="D9" i="2"/>
  <c r="D21" i="2" s="1"/>
  <c r="D23" i="2"/>
  <c r="D18" i="2"/>
  <c r="I24" i="2"/>
  <c r="F9" i="2"/>
  <c r="F21" i="2" s="1"/>
  <c r="F23" i="2"/>
  <c r="F18" i="2"/>
  <c r="J23" i="2"/>
  <c r="J9" i="2"/>
  <c r="G9" i="2"/>
  <c r="G21" i="2" s="1"/>
  <c r="G23" i="2"/>
  <c r="G18" i="2"/>
  <c r="K9" i="2"/>
  <c r="K21" i="2" s="1"/>
  <c r="K23" i="2"/>
  <c r="K18" i="2"/>
  <c r="L9" i="1"/>
  <c r="V12" i="2" l="1"/>
  <c r="U9" i="2"/>
  <c r="U13" i="2" s="1"/>
  <c r="U22" i="2" s="1"/>
  <c r="E9" i="2"/>
  <c r="E13" i="2" s="1"/>
  <c r="E22" i="2" s="1"/>
  <c r="J21" i="2"/>
  <c r="W12" i="2"/>
  <c r="V23" i="2"/>
  <c r="V9" i="2"/>
  <c r="V21" i="2" s="1"/>
  <c r="V26" i="2"/>
  <c r="L21" i="2"/>
  <c r="H13" i="2"/>
  <c r="H22" i="2" s="1"/>
  <c r="E23" i="2"/>
  <c r="I23" i="2"/>
  <c r="U23" i="2"/>
  <c r="U24" i="2"/>
  <c r="V18" i="2"/>
  <c r="I9" i="2"/>
  <c r="I26" i="2"/>
  <c r="V24" i="2"/>
  <c r="B13" i="2"/>
  <c r="B22" i="2" s="1"/>
  <c r="C13" i="2"/>
  <c r="C22" i="2" s="1"/>
  <c r="D13" i="2"/>
  <c r="D22" i="2" s="1"/>
  <c r="F13" i="2"/>
  <c r="F22" i="2" s="1"/>
  <c r="J13" i="2"/>
  <c r="J22" i="2" s="1"/>
  <c r="G13" i="2"/>
  <c r="G22" i="2" s="1"/>
  <c r="K13" i="2"/>
  <c r="K22" i="2" s="1"/>
  <c r="L22" i="2"/>
  <c r="U21" i="2" l="1"/>
  <c r="X12" i="2"/>
  <c r="E21" i="2"/>
  <c r="V13" i="2"/>
  <c r="V22" i="2" s="1"/>
  <c r="W13" i="2"/>
  <c r="W15" i="2" s="1"/>
  <c r="W16" i="2" s="1"/>
  <c r="I13" i="2"/>
  <c r="I22" i="2" s="1"/>
  <c r="I21" i="2"/>
  <c r="L17" i="2"/>
  <c r="L24" i="2"/>
  <c r="W24" i="2" l="1"/>
  <c r="Y12" i="2"/>
  <c r="Y26" i="2"/>
  <c r="W22" i="2"/>
  <c r="W21" i="2"/>
  <c r="X26" i="2"/>
  <c r="W26" i="2"/>
  <c r="L23" i="2"/>
  <c r="L18" i="2"/>
  <c r="W17" i="2" l="1"/>
  <c r="Z12" i="2"/>
  <c r="Z26" i="2"/>
  <c r="W18" i="2" l="1"/>
  <c r="W28" i="2"/>
  <c r="W23" i="2"/>
  <c r="AI9" i="2"/>
  <c r="AA12" i="2"/>
  <c r="Y9" i="2"/>
  <c r="AA26" i="2"/>
  <c r="X13" i="2"/>
  <c r="X21" i="2"/>
  <c r="AJ9" i="2" l="1"/>
  <c r="AB12" i="2"/>
  <c r="X22" i="2"/>
  <c r="X15" i="2"/>
  <c r="X16" i="2" s="1"/>
  <c r="AB26" i="2"/>
  <c r="Y21" i="2"/>
  <c r="Y13" i="2"/>
  <c r="Z9" i="2"/>
  <c r="AK9" i="2" l="1"/>
  <c r="X17" i="2"/>
  <c r="X28" i="2" s="1"/>
  <c r="Y14" i="2" s="1"/>
  <c r="AC12" i="2"/>
  <c r="AC26" i="2"/>
  <c r="Z13" i="2"/>
  <c r="Z21" i="2"/>
  <c r="X24" i="2"/>
  <c r="AA9" i="2"/>
  <c r="Y22" i="2"/>
  <c r="Y15" i="2" l="1"/>
  <c r="Y16" i="2" s="1"/>
  <c r="Y24" i="2" s="1"/>
  <c r="X18" i="2"/>
  <c r="X23" i="2"/>
  <c r="AM9" i="2"/>
  <c r="AL9" i="2"/>
  <c r="AD12" i="2"/>
  <c r="AA13" i="2"/>
  <c r="AA21" i="2"/>
  <c r="AB9" i="2"/>
  <c r="Z22" i="2"/>
  <c r="AD26" i="2"/>
  <c r="AE12" i="2" l="1"/>
  <c r="Y17" i="2"/>
  <c r="Y28" i="2" s="1"/>
  <c r="Z14" i="2" s="1"/>
  <c r="AB13" i="2"/>
  <c r="AB21" i="2"/>
  <c r="AC9" i="2"/>
  <c r="AE26" i="2"/>
  <c r="AA22" i="2"/>
  <c r="Z15" i="2" l="1"/>
  <c r="Z16" i="2" s="1"/>
  <c r="Z24" i="2" s="1"/>
  <c r="AF12" i="2"/>
  <c r="Y23" i="2"/>
  <c r="Y18" i="2"/>
  <c r="AF26" i="2"/>
  <c r="AC13" i="2"/>
  <c r="AC21" i="2"/>
  <c r="AD9" i="2"/>
  <c r="AB22" i="2"/>
  <c r="Z17" i="2" l="1"/>
  <c r="Z28" i="2" s="1"/>
  <c r="AA14" i="2" s="1"/>
  <c r="AG12" i="2"/>
  <c r="AD13" i="2"/>
  <c r="AD21" i="2"/>
  <c r="AE9" i="2"/>
  <c r="AC22" i="2"/>
  <c r="AG26" i="2"/>
  <c r="AA15" i="2" l="1"/>
  <c r="AA16" i="2" s="1"/>
  <c r="AA24" i="2" s="1"/>
  <c r="Z18" i="2"/>
  <c r="Z23" i="2"/>
  <c r="AH12" i="2"/>
  <c r="AE13" i="2"/>
  <c r="AE21" i="2"/>
  <c r="AF9" i="2"/>
  <c r="AH26" i="2"/>
  <c r="AD22" i="2"/>
  <c r="AA17" i="2" l="1"/>
  <c r="AA28" i="2" s="1"/>
  <c r="AB14" i="2" s="1"/>
  <c r="AI12" i="2"/>
  <c r="AI13" i="2" s="1"/>
  <c r="AF13" i="2"/>
  <c r="AF21" i="2"/>
  <c r="AH9" i="2"/>
  <c r="AG9" i="2"/>
  <c r="AE22" i="2"/>
  <c r="AB15" i="2" l="1"/>
  <c r="AA23" i="2"/>
  <c r="AA18" i="2"/>
  <c r="AJ12" i="2"/>
  <c r="AJ13" i="2" s="1"/>
  <c r="AH13" i="2"/>
  <c r="AH21" i="2"/>
  <c r="AG13" i="2"/>
  <c r="AG21" i="2"/>
  <c r="AF22" i="2"/>
  <c r="AB16" i="2" l="1"/>
  <c r="AB24" i="2" s="1"/>
  <c r="AB17" i="2"/>
  <c r="AB23" i="2" s="1"/>
  <c r="AB28" i="2"/>
  <c r="AC14" i="2" s="1"/>
  <c r="AB18" i="2"/>
  <c r="AK12" i="2"/>
  <c r="AK13" i="2" s="1"/>
  <c r="AG22" i="2"/>
  <c r="AH22" i="2"/>
  <c r="AC15" i="2" l="1"/>
  <c r="AC16" i="2" s="1"/>
  <c r="AC24" i="2" s="1"/>
  <c r="AM12" i="2"/>
  <c r="AM13" i="2" s="1"/>
  <c r="AL12" i="2"/>
  <c r="AL13" i="2" s="1"/>
  <c r="AC17" i="2" l="1"/>
  <c r="AC28" i="2" l="1"/>
  <c r="AD14" i="2" s="1"/>
  <c r="AC23" i="2"/>
  <c r="AC18" i="2"/>
  <c r="AD15" i="2" l="1"/>
  <c r="AD16" i="2" s="1"/>
  <c r="AD24" i="2" s="1"/>
  <c r="AD17" i="2" l="1"/>
  <c r="AD28" i="2" l="1"/>
  <c r="AE14" i="2" s="1"/>
  <c r="AD23" i="2"/>
  <c r="AD18" i="2"/>
  <c r="AE15" i="2" l="1"/>
  <c r="AE16" i="2" l="1"/>
  <c r="AE24" i="2" s="1"/>
  <c r="AE17" i="2" l="1"/>
  <c r="AE18" i="2" l="1"/>
  <c r="AE23" i="2"/>
  <c r="AE28" i="2"/>
  <c r="AF14" i="2" s="1"/>
  <c r="AF15" i="2" l="1"/>
  <c r="AF16" i="2" l="1"/>
  <c r="AF24" i="2" s="1"/>
  <c r="AF17" i="2" l="1"/>
  <c r="AF23" i="2" s="1"/>
  <c r="AF28" i="2" l="1"/>
  <c r="AG14" i="2" s="1"/>
  <c r="AF18" i="2"/>
  <c r="AG15" i="2" l="1"/>
  <c r="AG16" i="2" s="1"/>
  <c r="AG24" i="2" s="1"/>
  <c r="AG17" i="2" l="1"/>
  <c r="AG23" i="2" s="1"/>
  <c r="AG18" i="2" l="1"/>
  <c r="AG28" i="2"/>
  <c r="AH14" i="2" s="1"/>
  <c r="AH15" i="2"/>
  <c r="AH16" i="2" l="1"/>
  <c r="AH24" i="2" s="1"/>
  <c r="AH17" i="2" l="1"/>
  <c r="AH23" i="2" s="1"/>
  <c r="AH28" i="2" l="1"/>
  <c r="AI14" i="2" s="1"/>
  <c r="AH18" i="2"/>
  <c r="AI15" i="2"/>
  <c r="AI16" i="2" s="1"/>
  <c r="AI17" i="2" s="1"/>
  <c r="AI18" i="2" s="1"/>
  <c r="AI28" i="2" l="1"/>
  <c r="AJ14" i="2" s="1"/>
  <c r="AJ15" i="2" l="1"/>
  <c r="AJ16" i="2" l="1"/>
  <c r="AJ17" i="2"/>
  <c r="AJ18" i="2" l="1"/>
  <c r="AJ28" i="2"/>
  <c r="AK14" i="2" s="1"/>
  <c r="AK15" i="2" l="1"/>
  <c r="AK16" i="2" s="1"/>
  <c r="AK17" i="2" s="1"/>
  <c r="AK18" i="2" s="1"/>
  <c r="AK28" i="2" l="1"/>
  <c r="AL14" i="2" s="1"/>
  <c r="AL15" i="2" l="1"/>
  <c r="AL16" i="2" s="1"/>
  <c r="AL17" i="2" s="1"/>
  <c r="AL18" i="2" l="1"/>
  <c r="AL28" i="2"/>
  <c r="AM14" i="2" s="1"/>
  <c r="AM15" i="2"/>
  <c r="AM16" i="2" s="1"/>
  <c r="AM17" i="2" s="1"/>
  <c r="AM28" i="2" s="1"/>
  <c r="AM18" i="2" l="1"/>
  <c r="AN17" i="2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O8" i="2" s="1"/>
  <c r="O10" i="2" s="1"/>
  <c r="O11" i="2" s="1"/>
  <c r="O13" i="2" l="1"/>
  <c r="AN28" i="2"/>
  <c r="AO28" i="2" s="1"/>
</calcChain>
</file>

<file path=xl/sharedStrings.xml><?xml version="1.0" encoding="utf-8"?>
<sst xmlns="http://schemas.openxmlformats.org/spreadsheetml/2006/main" count="100" uniqueCount="72">
  <si>
    <t>Price</t>
  </si>
  <si>
    <t>Shares</t>
  </si>
  <si>
    <t>Cash</t>
  </si>
  <si>
    <t>Debt</t>
  </si>
  <si>
    <t>MC</t>
  </si>
  <si>
    <t>EV</t>
  </si>
  <si>
    <t xml:space="preserve"> </t>
  </si>
  <si>
    <t>Q224</t>
  </si>
  <si>
    <t>revenue</t>
  </si>
  <si>
    <t xml:space="preserve">Q222 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</si>
  <si>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</si>
  <si>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</si>
  <si>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</si>
  <si>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</si>
  <si>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</si>
  <si>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</si>
  <si>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</si>
  <si>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</si>
  <si>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</si>
  <si>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Q125</t>
  </si>
  <si>
    <t>Q225</t>
  </si>
  <si>
    <t>Q325</t>
  </si>
  <si>
    <t>Q425</t>
  </si>
  <si>
    <t>Products</t>
  </si>
  <si>
    <t>COGS</t>
  </si>
  <si>
    <t>Services</t>
  </si>
  <si>
    <t>Gross margin</t>
  </si>
  <si>
    <t>OPEX</t>
  </si>
  <si>
    <t>RD</t>
  </si>
  <si>
    <t>SGA</t>
  </si>
  <si>
    <t>Gross profit</t>
  </si>
  <si>
    <t>Operating profit</t>
  </si>
  <si>
    <t>Operating margin</t>
  </si>
  <si>
    <t>Taxes</t>
  </si>
  <si>
    <t>Net income</t>
  </si>
  <si>
    <t>EPS</t>
  </si>
  <si>
    <t>Interest income</t>
  </si>
  <si>
    <t>Pretaxe income</t>
  </si>
  <si>
    <t>Net margin</t>
  </si>
  <si>
    <t>Tax rate</t>
  </si>
  <si>
    <t>Revenue y/y</t>
  </si>
  <si>
    <t>cash</t>
  </si>
  <si>
    <t>A/R</t>
  </si>
  <si>
    <t>Inventory</t>
  </si>
  <si>
    <t>Vendor ntr</t>
  </si>
  <si>
    <t xml:space="preserve">OCA </t>
  </si>
  <si>
    <t>ONCA</t>
  </si>
  <si>
    <t>PPE</t>
  </si>
  <si>
    <t>Liabilities</t>
  </si>
  <si>
    <t>A/P</t>
  </si>
  <si>
    <t>ONL</t>
  </si>
  <si>
    <t>D/R</t>
  </si>
  <si>
    <t>OCL</t>
  </si>
  <si>
    <t>Assets</t>
  </si>
  <si>
    <t>S/E</t>
  </si>
  <si>
    <t>L+S/E</t>
  </si>
  <si>
    <t>Q122</t>
  </si>
  <si>
    <t>Q126</t>
  </si>
  <si>
    <t>Q226</t>
  </si>
  <si>
    <t>DR</t>
  </si>
  <si>
    <t>NC</t>
  </si>
  <si>
    <t>NPV</t>
  </si>
  <si>
    <t>Total value</t>
  </si>
  <si>
    <t>Current value</t>
  </si>
  <si>
    <t>MR</t>
  </si>
  <si>
    <t>Per share</t>
  </si>
  <si>
    <t xml:space="preserve">  </t>
  </si>
  <si>
    <t>Ratio</t>
  </si>
  <si>
    <t>ROA</t>
  </si>
  <si>
    <t>ROE</t>
  </si>
  <si>
    <t>ROIC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</si>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</sst>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9" fontId="0" fillId="0" borderId="0" xfId="1" applyFont="1"/>
    <xf numFmtId="0" fontId="2" fillId="0" borderId="0" xfId="0" applyFont="1"/>
    <xf numFmtId="3" fontId="2" fillId="0" borderId="0" xfId="0" applyNumberFormat="1" applyFont="1"/>
    <xf numFmtId="4" fontId="0" fillId="0" borderId="0" xfId="0" applyNumberFormat="1"/>
    <xf numFmtId="9" fontId="2" fillId="0" borderId="0" xfId="1" applyFon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3" fontId="0" fillId="2" borderId="0" xfId="0" applyNumberFormat="1" applyFill="1"/>
    <xf numFmtId="0" fontId="2" fillId="0" borderId="0" xfId="1" applyNumberFormat="1" applyFont="1"/>
    <xf numFmtId="3" fontId="2" fillId="0" borderId="0" xfId="1" applyNumberFormat="1" applyFont="1"/>
    <xf numFmtId="9" fontId="2" fillId="0" borderId="0" xfId="0" applyNumberFormat="1" applyFont="1"/>
    <xf numFmtId="9" fontId="3" fillId="0" borderId="0" xfId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15240</xdr:colOff>
      <xdr:row>38</xdr:row>
      <xdr:rowOff>15240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47C8C6E9-DA3D-CBF0-4DD9-2CE496CFBB7E}"/>
            </a:ext>
          </a:extLst>
        </xdr:cNvPr>
        <xdr:cNvCxnSpPr/>
      </xdr:nvCxnSpPr>
      <xdr:spPr>
        <a:xfrm>
          <a:off x="9486900" y="0"/>
          <a:ext cx="15240" cy="649986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15240</xdr:colOff>
      <xdr:row>38</xdr:row>
      <xdr:rowOff>15240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E95D53D8-08C0-42F8-BC5F-35E98D44B732}"/>
            </a:ext>
          </a:extLst>
        </xdr:cNvPr>
        <xdr:cNvCxnSpPr/>
      </xdr:nvCxnSpPr>
      <xdr:spPr>
        <a:xfrm>
          <a:off x="12839700" y="0"/>
          <a:ext cx="15240" cy="649986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5A53-7E59-45F0-897D-357B44147154}">
  <dimension ref="K4:M9"/>
  <sheetViews>
    <sheetView topLeftCell="G1" workbookViewId="0">
      <selection activeCell="L5" sqref="L5"/>
    </sheetView>
  </sheetViews>
  <sheetFormatPr defaultRowHeight="14.25" x14ac:dyDescent="0.2"/>
  <cols>
    <col min="12" max="12" width="21" customWidth="1"/>
  </cols>
  <sheetData>
    <row r="4" spans="11:13" x14ac:dyDescent="0.2">
      <c r="K4" t="s">
        <v>0</v>
      </c>
      <c r="L4" s="1">
        <v>217</v>
      </c>
      <c r="M4" t="s">
        <v>6</v>
      </c>
    </row>
    <row r="5" spans="11:13" x14ac:dyDescent="0.2">
      <c r="K5" t="s">
        <v>1</v>
      </c>
      <c r="L5" s="1">
        <v>15204.137000000001</v>
      </c>
      <c r="M5" t="s">
        <v>7</v>
      </c>
    </row>
    <row r="6" spans="11:13" x14ac:dyDescent="0.2">
      <c r="K6" t="s">
        <v>4</v>
      </c>
      <c r="L6" s="1">
        <f>+L4*L5</f>
        <v>3299297.7290000003</v>
      </c>
    </row>
    <row r="7" spans="11:13" x14ac:dyDescent="0.2">
      <c r="K7" t="s">
        <v>2</v>
      </c>
      <c r="L7" s="1">
        <f>25565+36236+91240</f>
        <v>153041</v>
      </c>
      <c r="M7" s="2" t="s">
        <v>7</v>
      </c>
    </row>
    <row r="8" spans="11:13" x14ac:dyDescent="0.2">
      <c r="K8" t="s">
        <v>3</v>
      </c>
      <c r="L8" s="1">
        <f>2994+12114+86196</f>
        <v>101304</v>
      </c>
      <c r="M8" s="2" t="s">
        <v>7</v>
      </c>
    </row>
    <row r="9" spans="11:13" x14ac:dyDescent="0.2">
      <c r="K9" t="s">
        <v>5</v>
      </c>
      <c r="L9" s="1">
        <f>+L6-L7+L8</f>
        <v>3247560.7290000003</v>
      </c>
      <c r="M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1FC5-48B8-4E63-9568-685FFB6E2132}">
  <dimension ref="A2:AX50"/>
  <sheetViews>
    <sheetView tabSelected="1" workbookViewId="0">
      <pane xSplit="1" ySplit="2" topLeftCell="B7" activePane="bottomRight" state="frozen"/>
      <selection pane="topRight" activeCell="C1" sqref="C1"/>
      <selection pane="bottomLeft" activeCell="A3" sqref="A3"/>
      <selection pane="bottomRight" activeCell="F24" sqref="F24"/>
    </sheetView>
  </sheetViews>
  <sheetFormatPr defaultRowHeight="14.25" x14ac:dyDescent="0.2"/>
  <cols>
    <col min="1" max="1" width="16.25" customWidth="1"/>
    <col min="2" max="2" width="10.5" customWidth="1"/>
    <col min="8" max="8" width="8.75" customWidth="1"/>
    <col min="9" max="9" width="8.625" customWidth="1"/>
    <col min="11" max="11" width="9.875" bestFit="1" customWidth="1"/>
    <col min="12" max="12" width="10.25" bestFit="1" customWidth="1"/>
    <col min="15" max="15" width="13" bestFit="1" customWidth="1"/>
    <col min="22" max="22" width="9.625" bestFit="1" customWidth="1"/>
    <col min="23" max="23" width="10.625" bestFit="1" customWidth="1"/>
    <col min="36" max="36" width="12" customWidth="1"/>
    <col min="37" max="37" width="13.875" customWidth="1"/>
  </cols>
  <sheetData>
    <row r="2" spans="1:39" x14ac:dyDescent="0.2">
      <c r="B2" t="s">
        <v>56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7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57</v>
      </c>
      <c r="S2" t="s">
        <v>58</v>
      </c>
      <c r="U2">
        <v>2022</v>
      </c>
      <c r="V2">
        <f>+U2+1</f>
        <v>2023</v>
      </c>
      <c r="W2">
        <f t="shared" ref="W2:AH2" si="0">+V2+1</f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  <c r="AI2">
        <f t="shared" ref="AI2" si="1">+AH2+1</f>
        <v>2036</v>
      </c>
      <c r="AJ2">
        <f t="shared" ref="AJ2" si="2">+AI2+1</f>
        <v>2037</v>
      </c>
      <c r="AK2">
        <f t="shared" ref="AK2" si="3">+AJ2+1</f>
        <v>2038</v>
      </c>
      <c r="AL2">
        <f t="shared" ref="AL2" si="4">+AK2+1</f>
        <v>2039</v>
      </c>
      <c r="AM2">
        <f t="shared" ref="AM2" si="5">+AL2+1</f>
        <v>2040</v>
      </c>
    </row>
    <row r="3" spans="1:39" x14ac:dyDescent="0.2">
      <c r="A3" t="s">
        <v>23</v>
      </c>
      <c r="B3" s="1">
        <v>104429</v>
      </c>
      <c r="C3" s="1">
        <v>77457</v>
      </c>
      <c r="D3" s="1">
        <v>63355</v>
      </c>
      <c r="E3" s="1">
        <f>316199-B3-C3-D3</f>
        <v>70958</v>
      </c>
      <c r="F3" s="1">
        <v>96388</v>
      </c>
      <c r="G3" s="1">
        <v>73929</v>
      </c>
      <c r="H3" s="1">
        <v>60584</v>
      </c>
      <c r="I3" s="1">
        <f>298085-F3-G3-H3</f>
        <v>67184</v>
      </c>
      <c r="J3" s="1">
        <v>96458</v>
      </c>
      <c r="K3" s="1">
        <v>66886</v>
      </c>
      <c r="L3" s="1">
        <v>61564</v>
      </c>
      <c r="U3" s="1">
        <f>SUM(B3:E3)</f>
        <v>316199</v>
      </c>
      <c r="V3" s="1">
        <f>SUM(F3:I3)</f>
        <v>298085</v>
      </c>
    </row>
    <row r="4" spans="1:39" x14ac:dyDescent="0.2">
      <c r="A4" t="s">
        <v>25</v>
      </c>
      <c r="B4" s="1">
        <v>19516</v>
      </c>
      <c r="C4" s="1">
        <v>19821</v>
      </c>
      <c r="D4" s="1">
        <v>19604</v>
      </c>
      <c r="E4" s="1">
        <f>78129-B4-C4-D4</f>
        <v>19188</v>
      </c>
      <c r="F4" s="1">
        <v>20766</v>
      </c>
      <c r="G4" s="1">
        <v>20907</v>
      </c>
      <c r="H4" s="1">
        <v>21213</v>
      </c>
      <c r="I4" s="1">
        <f>85200-F4-G4-H4</f>
        <v>22314</v>
      </c>
      <c r="J4" s="1">
        <v>23117</v>
      </c>
      <c r="K4" s="1">
        <v>23867</v>
      </c>
      <c r="L4" s="1">
        <v>24213</v>
      </c>
      <c r="U4" s="1">
        <f>SUM(B4:E4)</f>
        <v>78129</v>
      </c>
      <c r="V4" s="1">
        <f>SUM(F4:I4)</f>
        <v>85200</v>
      </c>
    </row>
    <row r="5" spans="1:39" s="3" customFormat="1" ht="15" x14ac:dyDescent="0.25">
      <c r="A5" s="3" t="s">
        <v>8</v>
      </c>
      <c r="B5" s="4">
        <f t="shared" ref="B5:L5" si="6">+B3+B4</f>
        <v>123945</v>
      </c>
      <c r="C5" s="4">
        <f t="shared" si="6"/>
        <v>97278</v>
      </c>
      <c r="D5" s="4">
        <f t="shared" si="6"/>
        <v>82959</v>
      </c>
      <c r="E5" s="4">
        <f t="shared" si="6"/>
        <v>90146</v>
      </c>
      <c r="F5" s="4">
        <f t="shared" si="6"/>
        <v>117154</v>
      </c>
      <c r="G5" s="4">
        <f t="shared" si="6"/>
        <v>94836</v>
      </c>
      <c r="H5" s="4">
        <f t="shared" si="6"/>
        <v>81797</v>
      </c>
      <c r="I5" s="4">
        <f t="shared" si="6"/>
        <v>89498</v>
      </c>
      <c r="J5" s="4">
        <f t="shared" si="6"/>
        <v>119575</v>
      </c>
      <c r="K5" s="4">
        <f t="shared" si="6"/>
        <v>90753</v>
      </c>
      <c r="L5" s="4">
        <f t="shared" si="6"/>
        <v>85777</v>
      </c>
      <c r="M5" s="4" t="s">
        <v>6</v>
      </c>
      <c r="N5" s="1" t="s">
        <v>70</v>
      </c>
      <c r="O5" s="13">
        <v>0.01</v>
      </c>
      <c r="P5" s="4"/>
      <c r="Q5" s="4"/>
      <c r="R5" s="4"/>
      <c r="S5" s="4"/>
      <c r="T5" s="4"/>
      <c r="U5" s="4">
        <f t="shared" ref="U5:V5" si="7">+U3+U4</f>
        <v>394328</v>
      </c>
      <c r="V5" s="4">
        <f t="shared" si="7"/>
        <v>383285</v>
      </c>
      <c r="W5" s="4">
        <f>+V5*(1-$O$6)</f>
        <v>390950.7</v>
      </c>
      <c r="X5" s="4">
        <f t="shared" ref="X5:AM5" si="8">+W5*(1-$O$6)</f>
        <v>398769.71400000004</v>
      </c>
      <c r="Y5" s="4">
        <f t="shared" si="8"/>
        <v>406745.10828000004</v>
      </c>
      <c r="Z5" s="4">
        <f t="shared" si="8"/>
        <v>414880.01044560003</v>
      </c>
      <c r="AA5" s="4">
        <f t="shared" si="8"/>
        <v>423177.61065451201</v>
      </c>
      <c r="AB5" s="4">
        <f t="shared" si="8"/>
        <v>431641.16286760225</v>
      </c>
      <c r="AC5" s="4">
        <f t="shared" si="8"/>
        <v>440273.9861249543</v>
      </c>
      <c r="AD5" s="4">
        <f t="shared" si="8"/>
        <v>449079.46584745339</v>
      </c>
      <c r="AE5" s="4">
        <f t="shared" si="8"/>
        <v>458061.05516440247</v>
      </c>
      <c r="AF5" s="4">
        <f t="shared" si="8"/>
        <v>467222.27626769053</v>
      </c>
      <c r="AG5" s="4">
        <f t="shared" si="8"/>
        <v>476566.72179304436</v>
      </c>
      <c r="AH5" s="4">
        <f t="shared" si="8"/>
        <v>486098.05622890528</v>
      </c>
      <c r="AI5" s="4">
        <f t="shared" si="8"/>
        <v>495820.01735348342</v>
      </c>
      <c r="AJ5" s="4">
        <f t="shared" si="8"/>
        <v>505736.41770055308</v>
      </c>
      <c r="AK5" s="4">
        <f t="shared" si="8"/>
        <v>515851.14605456416</v>
      </c>
      <c r="AL5" s="4">
        <f t="shared" si="8"/>
        <v>526168.16897565546</v>
      </c>
      <c r="AM5" s="4">
        <f t="shared" si="8"/>
        <v>536691.5323551686</v>
      </c>
    </row>
    <row r="6" spans="1:39" x14ac:dyDescent="0.2">
      <c r="A6" t="s">
        <v>23</v>
      </c>
      <c r="B6" s="1">
        <v>64309</v>
      </c>
      <c r="C6" s="1">
        <v>49290</v>
      </c>
      <c r="D6" s="1">
        <v>41485</v>
      </c>
      <c r="E6" s="1">
        <f>201471-B6-C6-D6</f>
        <v>46387</v>
      </c>
      <c r="F6" s="1">
        <v>60765</v>
      </c>
      <c r="G6" s="1">
        <v>46795</v>
      </c>
      <c r="H6" s="1">
        <v>39136</v>
      </c>
      <c r="I6" s="1">
        <f>189282-F6-G6-H6</f>
        <v>42586</v>
      </c>
      <c r="J6" s="1">
        <v>58440</v>
      </c>
      <c r="K6" s="1">
        <v>42424</v>
      </c>
      <c r="L6" s="1">
        <v>39803</v>
      </c>
      <c r="N6" t="s">
        <v>64</v>
      </c>
      <c r="O6" s="7">
        <v>-0.02</v>
      </c>
      <c r="U6" s="1">
        <f>SUM(E6:H6)</f>
        <v>193083</v>
      </c>
      <c r="V6" s="1">
        <f>SUM(F6:I6)</f>
        <v>189282</v>
      </c>
      <c r="W6" t="s">
        <v>6</v>
      </c>
    </row>
    <row r="7" spans="1:39" x14ac:dyDescent="0.2">
      <c r="A7" t="s">
        <v>25</v>
      </c>
      <c r="B7" s="1">
        <v>5393</v>
      </c>
      <c r="C7" s="1">
        <v>5429</v>
      </c>
      <c r="D7" s="1">
        <v>5589</v>
      </c>
      <c r="E7" s="1">
        <f>22075-B7-C7-D7</f>
        <v>5664</v>
      </c>
      <c r="F7" s="1">
        <v>6057</v>
      </c>
      <c r="G7" s="1">
        <v>6065</v>
      </c>
      <c r="H7" s="1">
        <v>6248</v>
      </c>
      <c r="I7" s="1">
        <f>24855-F7-G7-H7</f>
        <v>6485</v>
      </c>
      <c r="J7" s="1">
        <v>6280</v>
      </c>
      <c r="K7" s="1">
        <v>6058</v>
      </c>
      <c r="L7" s="1">
        <v>6296</v>
      </c>
      <c r="N7" t="s">
        <v>59</v>
      </c>
      <c r="O7" s="7">
        <v>7.0000000000000007E-2</v>
      </c>
      <c r="U7" s="1">
        <f>SUM(E7:H7)</f>
        <v>24034</v>
      </c>
      <c r="V7" s="1">
        <f>SUM(F7:I7)</f>
        <v>24855</v>
      </c>
      <c r="W7" t="s">
        <v>6</v>
      </c>
      <c r="X7" t="s">
        <v>6</v>
      </c>
      <c r="Y7" t="s">
        <v>6</v>
      </c>
    </row>
    <row r="8" spans="1:39" x14ac:dyDescent="0.2">
      <c r="A8" t="s">
        <v>24</v>
      </c>
      <c r="B8" s="1">
        <f t="shared" ref="B8:L8" si="9">+B6+B7</f>
        <v>69702</v>
      </c>
      <c r="C8" s="1">
        <f t="shared" si="9"/>
        <v>54719</v>
      </c>
      <c r="D8" s="1">
        <f t="shared" si="9"/>
        <v>47074</v>
      </c>
      <c r="E8" s="1">
        <f t="shared" si="9"/>
        <v>52051</v>
      </c>
      <c r="F8" s="1">
        <f t="shared" si="9"/>
        <v>66822</v>
      </c>
      <c r="G8" s="1">
        <f t="shared" si="9"/>
        <v>52860</v>
      </c>
      <c r="H8" s="1">
        <f t="shared" si="9"/>
        <v>45384</v>
      </c>
      <c r="I8" s="1">
        <f t="shared" si="9"/>
        <v>49071</v>
      </c>
      <c r="J8" s="1">
        <f t="shared" si="9"/>
        <v>64720</v>
      </c>
      <c r="K8" s="1">
        <f t="shared" si="9"/>
        <v>48482</v>
      </c>
      <c r="L8" s="1">
        <f t="shared" si="9"/>
        <v>46099</v>
      </c>
      <c r="M8" s="1"/>
      <c r="N8" t="s">
        <v>61</v>
      </c>
      <c r="O8" s="8">
        <f>NPV(O7,U17:AX17)</f>
        <v>1802594.5580811056</v>
      </c>
      <c r="P8" s="1"/>
      <c r="Q8" s="1"/>
      <c r="R8" s="1"/>
      <c r="S8" s="1"/>
      <c r="T8" s="1"/>
      <c r="U8" s="1">
        <f t="shared" ref="U8:V8" si="10">+U6+U7</f>
        <v>217117</v>
      </c>
      <c r="V8" s="1">
        <f t="shared" si="10"/>
        <v>214137</v>
      </c>
      <c r="W8" s="1">
        <f>+V8*1.01</f>
        <v>216278.37</v>
      </c>
      <c r="X8" s="1">
        <f t="shared" ref="X8:AM8" si="11">+W8*1.01</f>
        <v>218441.1537</v>
      </c>
      <c r="Y8" s="1">
        <f t="shared" si="11"/>
        <v>220625.565237</v>
      </c>
      <c r="Z8" s="1">
        <f t="shared" si="11"/>
        <v>222831.82088936999</v>
      </c>
      <c r="AA8" s="1">
        <f t="shared" si="11"/>
        <v>225060.13909826369</v>
      </c>
      <c r="AB8" s="1">
        <f t="shared" si="11"/>
        <v>227310.74048924632</v>
      </c>
      <c r="AC8" s="1">
        <f t="shared" si="11"/>
        <v>229583.8478941388</v>
      </c>
      <c r="AD8" s="1">
        <f t="shared" si="11"/>
        <v>231879.68637308019</v>
      </c>
      <c r="AE8" s="1">
        <f t="shared" si="11"/>
        <v>234198.48323681098</v>
      </c>
      <c r="AF8" s="1">
        <f t="shared" si="11"/>
        <v>236540.4680691791</v>
      </c>
      <c r="AG8" s="1">
        <f t="shared" si="11"/>
        <v>238905.8727498709</v>
      </c>
      <c r="AH8" s="1">
        <f t="shared" si="11"/>
        <v>241294.93147736962</v>
      </c>
      <c r="AI8" s="1">
        <f t="shared" si="11"/>
        <v>243707.88079214332</v>
      </c>
      <c r="AJ8" s="1">
        <f t="shared" si="11"/>
        <v>246144.95960006476</v>
      </c>
      <c r="AK8" s="1">
        <f t="shared" si="11"/>
        <v>248606.40919606542</v>
      </c>
      <c r="AL8" s="1">
        <f t="shared" si="11"/>
        <v>251092.47328802609</v>
      </c>
      <c r="AM8" s="1">
        <f t="shared" si="11"/>
        <v>253603.39802090634</v>
      </c>
    </row>
    <row r="9" spans="1:39" s="3" customFormat="1" ht="15" x14ac:dyDescent="0.25">
      <c r="A9" s="3" t="s">
        <v>30</v>
      </c>
      <c r="B9" s="4">
        <f t="shared" ref="B9:L9" si="12">+B5-B8</f>
        <v>54243</v>
      </c>
      <c r="C9" s="4">
        <f t="shared" si="12"/>
        <v>42559</v>
      </c>
      <c r="D9" s="4">
        <f t="shared" si="12"/>
        <v>35885</v>
      </c>
      <c r="E9" s="4">
        <f t="shared" si="12"/>
        <v>38095</v>
      </c>
      <c r="F9" s="4">
        <f t="shared" si="12"/>
        <v>50332</v>
      </c>
      <c r="G9" s="4">
        <f t="shared" si="12"/>
        <v>41976</v>
      </c>
      <c r="H9" s="4">
        <f t="shared" si="12"/>
        <v>36413</v>
      </c>
      <c r="I9" s="4">
        <f t="shared" si="12"/>
        <v>40427</v>
      </c>
      <c r="J9" s="4">
        <f t="shared" si="12"/>
        <v>54855</v>
      </c>
      <c r="K9" s="4">
        <f t="shared" si="12"/>
        <v>42271</v>
      </c>
      <c r="L9" s="4">
        <f t="shared" si="12"/>
        <v>39678</v>
      </c>
      <c r="M9" s="4"/>
      <c r="N9" t="s">
        <v>60</v>
      </c>
      <c r="O9" s="1">
        <f>+main!L7-main!L8</f>
        <v>51737</v>
      </c>
      <c r="P9" s="4" t="s">
        <v>6</v>
      </c>
      <c r="Q9" s="4"/>
      <c r="R9" s="4"/>
      <c r="S9" s="4"/>
      <c r="T9" s="4"/>
      <c r="U9" s="4">
        <f t="shared" ref="U9:V9" si="13">+U5-U8</f>
        <v>177211</v>
      </c>
      <c r="V9" s="4">
        <f t="shared" si="13"/>
        <v>169148</v>
      </c>
      <c r="W9" s="4">
        <f>+W5-W8</f>
        <v>174672.33000000002</v>
      </c>
      <c r="X9" s="4">
        <f>+X5-X8</f>
        <v>180328.56030000004</v>
      </c>
      <c r="Y9" s="4">
        <f>+Y5-Y8</f>
        <v>186119.54304300004</v>
      </c>
      <c r="Z9" s="4">
        <f t="shared" ref="Z9:AH9" si="14">+Z5-Z8</f>
        <v>192048.18955623003</v>
      </c>
      <c r="AA9" s="4">
        <f t="shared" si="14"/>
        <v>198117.47155624832</v>
      </c>
      <c r="AB9" s="4">
        <f t="shared" si="14"/>
        <v>204330.42237835593</v>
      </c>
      <c r="AC9" s="4">
        <f t="shared" si="14"/>
        <v>210690.1382308155</v>
      </c>
      <c r="AD9" s="4">
        <f t="shared" si="14"/>
        <v>217199.77947437321</v>
      </c>
      <c r="AE9" s="4">
        <f t="shared" si="14"/>
        <v>223862.57192759149</v>
      </c>
      <c r="AF9" s="4">
        <f t="shared" si="14"/>
        <v>230681.80819851143</v>
      </c>
      <c r="AG9" s="4">
        <f t="shared" si="14"/>
        <v>237660.84904317345</v>
      </c>
      <c r="AH9" s="4">
        <f t="shared" si="14"/>
        <v>244803.12475153565</v>
      </c>
      <c r="AI9" s="4">
        <f t="shared" ref="AI9:AM9" si="15">+AI5-AI8</f>
        <v>252112.1365613401</v>
      </c>
      <c r="AJ9" s="4">
        <f t="shared" si="15"/>
        <v>259591.45810048832</v>
      </c>
      <c r="AK9" s="4">
        <f t="shared" si="15"/>
        <v>267244.73685849877</v>
      </c>
      <c r="AL9" s="4">
        <f t="shared" si="15"/>
        <v>275075.6956876294</v>
      </c>
      <c r="AM9" s="4">
        <f t="shared" si="15"/>
        <v>283088.13433426223</v>
      </c>
    </row>
    <row r="10" spans="1:39" x14ac:dyDescent="0.2">
      <c r="A10" t="s">
        <v>28</v>
      </c>
      <c r="B10" s="1">
        <v>6306</v>
      </c>
      <c r="C10" s="1">
        <v>6387</v>
      </c>
      <c r="D10" s="1">
        <v>6797</v>
      </c>
      <c r="E10" s="1">
        <f>26251-B10-C10-D10</f>
        <v>6761</v>
      </c>
      <c r="F10" s="1">
        <v>7709</v>
      </c>
      <c r="G10" s="1">
        <v>7457</v>
      </c>
      <c r="H10" s="1">
        <v>7442</v>
      </c>
      <c r="I10" s="1">
        <f>29915-F10-G10-H10</f>
        <v>7307</v>
      </c>
      <c r="J10" s="1">
        <v>7696</v>
      </c>
      <c r="K10" s="1">
        <v>7903</v>
      </c>
      <c r="L10" s="1">
        <v>8006</v>
      </c>
      <c r="M10" s="1"/>
      <c r="N10" t="s">
        <v>62</v>
      </c>
      <c r="O10" s="1">
        <f>+O8+O9</f>
        <v>1854331.5580811056</v>
      </c>
      <c r="P10" s="1"/>
      <c r="Q10" s="1"/>
      <c r="R10" s="1"/>
      <c r="S10" s="1" t="s">
        <v>6</v>
      </c>
      <c r="T10" s="1"/>
      <c r="U10" s="1">
        <f t="shared" ref="U10:V11" si="16">SUM(E10:H10)</f>
        <v>29369</v>
      </c>
      <c r="V10" s="1">
        <f t="shared" si="16"/>
        <v>29915</v>
      </c>
      <c r="W10" s="1">
        <f>+V10*1.02</f>
        <v>30513.3</v>
      </c>
      <c r="X10" s="1">
        <f t="shared" ref="X10:AM10" si="17">+W10*1.02</f>
        <v>31123.565999999999</v>
      </c>
      <c r="Y10" s="1">
        <f t="shared" si="17"/>
        <v>31746.037319999999</v>
      </c>
      <c r="Z10" s="1">
        <f t="shared" si="17"/>
        <v>32380.958066399999</v>
      </c>
      <c r="AA10" s="1">
        <f t="shared" si="17"/>
        <v>33028.577227727998</v>
      </c>
      <c r="AB10" s="1">
        <f t="shared" si="17"/>
        <v>33689.148772282555</v>
      </c>
      <c r="AC10" s="1">
        <f t="shared" si="17"/>
        <v>34362.931747728209</v>
      </c>
      <c r="AD10" s="1">
        <f t="shared" si="17"/>
        <v>35050.190382682777</v>
      </c>
      <c r="AE10" s="1">
        <f t="shared" si="17"/>
        <v>35751.194190336435</v>
      </c>
      <c r="AF10" s="1">
        <f t="shared" si="17"/>
        <v>36466.218074143166</v>
      </c>
      <c r="AG10" s="1">
        <f t="shared" si="17"/>
        <v>37195.542435626026</v>
      </c>
      <c r="AH10" s="1">
        <f t="shared" si="17"/>
        <v>37939.453284338546</v>
      </c>
      <c r="AI10" s="1">
        <f t="shared" si="17"/>
        <v>38698.242350025321</v>
      </c>
      <c r="AJ10" s="1">
        <f t="shared" si="17"/>
        <v>39472.207197025826</v>
      </c>
      <c r="AK10" s="1">
        <f t="shared" si="17"/>
        <v>40261.651340966346</v>
      </c>
      <c r="AL10" s="1">
        <f t="shared" si="17"/>
        <v>41066.884367785671</v>
      </c>
      <c r="AM10" s="1">
        <f t="shared" si="17"/>
        <v>41888.222055141385</v>
      </c>
    </row>
    <row r="11" spans="1:39" x14ac:dyDescent="0.2">
      <c r="A11" t="s">
        <v>29</v>
      </c>
      <c r="B11" s="1">
        <v>6449</v>
      </c>
      <c r="C11" s="1">
        <v>6193</v>
      </c>
      <c r="D11" s="1">
        <v>6012</v>
      </c>
      <c r="E11" s="1">
        <f>25094-B11-C11-D11</f>
        <v>6440</v>
      </c>
      <c r="F11" s="1">
        <v>6607</v>
      </c>
      <c r="G11" s="1">
        <v>6201</v>
      </c>
      <c r="H11" s="1">
        <v>5973</v>
      </c>
      <c r="I11" s="1">
        <f>24932-F11-G11-H11</f>
        <v>6151</v>
      </c>
      <c r="J11" s="1">
        <v>6786</v>
      </c>
      <c r="K11" s="1">
        <v>6468</v>
      </c>
      <c r="L11" s="1">
        <v>6320</v>
      </c>
      <c r="M11" s="1"/>
      <c r="N11" t="s">
        <v>65</v>
      </c>
      <c r="O11" s="9">
        <f>+O10/main!L5</f>
        <v>121.96230263388875</v>
      </c>
      <c r="P11" s="1"/>
      <c r="Q11" s="1"/>
      <c r="R11" s="1"/>
      <c r="S11" s="1"/>
      <c r="T11" s="1"/>
      <c r="U11" s="1">
        <f t="shared" si="16"/>
        <v>25221</v>
      </c>
      <c r="V11" s="1">
        <f t="shared" si="16"/>
        <v>24932</v>
      </c>
      <c r="W11" s="1">
        <f t="shared" ref="W11:AM11" si="18">+V11*1.02</f>
        <v>25430.639999999999</v>
      </c>
      <c r="X11" s="1">
        <f t="shared" si="18"/>
        <v>25939.252799999998</v>
      </c>
      <c r="Y11" s="1">
        <f t="shared" si="18"/>
        <v>26458.037855999999</v>
      </c>
      <c r="Z11" s="1">
        <f t="shared" si="18"/>
        <v>26987.198613119999</v>
      </c>
      <c r="AA11" s="1">
        <f t="shared" si="18"/>
        <v>27526.9425853824</v>
      </c>
      <c r="AB11" s="1">
        <f t="shared" si="18"/>
        <v>28077.481437090049</v>
      </c>
      <c r="AC11" s="1">
        <f t="shared" si="18"/>
        <v>28639.031065831852</v>
      </c>
      <c r="AD11" s="1">
        <f t="shared" si="18"/>
        <v>29211.811687148489</v>
      </c>
      <c r="AE11" s="1">
        <f t="shared" si="18"/>
        <v>29796.047920891458</v>
      </c>
      <c r="AF11" s="1">
        <f t="shared" si="18"/>
        <v>30391.968879309286</v>
      </c>
      <c r="AG11" s="1">
        <f t="shared" si="18"/>
        <v>30999.808256895474</v>
      </c>
      <c r="AH11" s="1">
        <f t="shared" si="18"/>
        <v>31619.804422033383</v>
      </c>
      <c r="AI11" s="1">
        <f t="shared" si="18"/>
        <v>32252.200510474053</v>
      </c>
      <c r="AJ11" s="1">
        <f t="shared" si="18"/>
        <v>32897.244520683533</v>
      </c>
      <c r="AK11" s="1">
        <f t="shared" si="18"/>
        <v>33555.189411097206</v>
      </c>
      <c r="AL11" s="1">
        <f t="shared" si="18"/>
        <v>34226.293199319152</v>
      </c>
      <c r="AM11" s="1">
        <f t="shared" si="18"/>
        <v>34910.819063305535</v>
      </c>
    </row>
    <row r="12" spans="1:39" x14ac:dyDescent="0.2">
      <c r="A12" t="s">
        <v>27</v>
      </c>
      <c r="B12" s="1">
        <f t="shared" ref="B12:L12" si="19">+B10+B11</f>
        <v>12755</v>
      </c>
      <c r="C12" s="1">
        <f t="shared" si="19"/>
        <v>12580</v>
      </c>
      <c r="D12" s="1">
        <f t="shared" si="19"/>
        <v>12809</v>
      </c>
      <c r="E12" s="1">
        <f t="shared" si="19"/>
        <v>13201</v>
      </c>
      <c r="F12" s="1">
        <f t="shared" si="19"/>
        <v>14316</v>
      </c>
      <c r="G12" s="1">
        <f t="shared" si="19"/>
        <v>13658</v>
      </c>
      <c r="H12" s="1">
        <f t="shared" si="19"/>
        <v>13415</v>
      </c>
      <c r="I12" s="1">
        <f t="shared" si="19"/>
        <v>13458</v>
      </c>
      <c r="J12" s="1">
        <f t="shared" si="19"/>
        <v>14482</v>
      </c>
      <c r="K12" s="1">
        <f t="shared" si="19"/>
        <v>14371</v>
      </c>
      <c r="L12" s="1">
        <f t="shared" si="19"/>
        <v>14326</v>
      </c>
      <c r="M12" s="1"/>
      <c r="N12" t="s">
        <v>63</v>
      </c>
      <c r="O12">
        <v>217</v>
      </c>
      <c r="P12" s="1"/>
      <c r="Q12" s="1"/>
      <c r="R12" s="1"/>
      <c r="S12" s="1"/>
      <c r="T12" s="1"/>
      <c r="U12" s="1">
        <f t="shared" ref="U12:V12" si="20">+U10+U11</f>
        <v>54590</v>
      </c>
      <c r="V12" s="1">
        <f t="shared" si="20"/>
        <v>54847</v>
      </c>
      <c r="W12" s="1">
        <f t="shared" ref="W12" si="21">+W10+W11</f>
        <v>55943.94</v>
      </c>
      <c r="X12" s="1">
        <f t="shared" ref="X12:AH12" si="22">+X10+X11</f>
        <v>57062.818799999994</v>
      </c>
      <c r="Y12" s="1">
        <f t="shared" si="22"/>
        <v>58204.075175999998</v>
      </c>
      <c r="Z12" s="1">
        <f t="shared" si="22"/>
        <v>59368.156679519998</v>
      </c>
      <c r="AA12" s="1">
        <f t="shared" si="22"/>
        <v>60555.519813110397</v>
      </c>
      <c r="AB12" s="1">
        <f t="shared" si="22"/>
        <v>61766.630209372604</v>
      </c>
      <c r="AC12" s="1">
        <f t="shared" si="22"/>
        <v>63001.962813560065</v>
      </c>
      <c r="AD12" s="1">
        <f t="shared" si="22"/>
        <v>64262.002069831266</v>
      </c>
      <c r="AE12" s="1">
        <f t="shared" si="22"/>
        <v>65547.242111227897</v>
      </c>
      <c r="AF12" s="1">
        <f t="shared" si="22"/>
        <v>66858.186953452445</v>
      </c>
      <c r="AG12" s="1">
        <f t="shared" si="22"/>
        <v>68195.350692521504</v>
      </c>
      <c r="AH12" s="1">
        <f t="shared" si="22"/>
        <v>69559.257706371922</v>
      </c>
      <c r="AI12" s="1">
        <f t="shared" ref="AI12:AM12" si="23">+AI10+AI11</f>
        <v>70950.442860499374</v>
      </c>
      <c r="AJ12" s="1">
        <f t="shared" si="23"/>
        <v>72369.451717709366</v>
      </c>
      <c r="AK12" s="1">
        <f t="shared" si="23"/>
        <v>73816.840752063552</v>
      </c>
      <c r="AL12" s="1">
        <f t="shared" si="23"/>
        <v>75293.177567104824</v>
      </c>
      <c r="AM12" s="1">
        <f t="shared" si="23"/>
        <v>76799.041118446912</v>
      </c>
    </row>
    <row r="13" spans="1:39" ht="15" x14ac:dyDescent="0.25">
      <c r="A13" s="3" t="s">
        <v>31</v>
      </c>
      <c r="B13" s="4">
        <f t="shared" ref="B13:L13" si="24">+B9-B12</f>
        <v>41488</v>
      </c>
      <c r="C13" s="4">
        <f t="shared" si="24"/>
        <v>29979</v>
      </c>
      <c r="D13" s="4">
        <f t="shared" si="24"/>
        <v>23076</v>
      </c>
      <c r="E13" s="4">
        <f t="shared" si="24"/>
        <v>24894</v>
      </c>
      <c r="F13" s="4">
        <f t="shared" si="24"/>
        <v>36016</v>
      </c>
      <c r="G13" s="4">
        <f t="shared" si="24"/>
        <v>28318</v>
      </c>
      <c r="H13" s="4">
        <f t="shared" si="24"/>
        <v>22998</v>
      </c>
      <c r="I13" s="4">
        <f t="shared" si="24"/>
        <v>26969</v>
      </c>
      <c r="J13" s="4">
        <f t="shared" si="24"/>
        <v>40373</v>
      </c>
      <c r="K13" s="4">
        <f t="shared" si="24"/>
        <v>27900</v>
      </c>
      <c r="L13" s="4">
        <f t="shared" si="24"/>
        <v>25352</v>
      </c>
      <c r="M13" s="4"/>
      <c r="N13" t="s">
        <v>67</v>
      </c>
      <c r="O13" s="7">
        <f>+O11/O12-1</f>
        <v>-0.43796173901433755</v>
      </c>
      <c r="P13" s="4"/>
      <c r="Q13" s="4"/>
      <c r="R13" s="4" t="s">
        <v>6</v>
      </c>
      <c r="S13" s="4"/>
      <c r="T13" s="4" t="s">
        <v>6</v>
      </c>
      <c r="U13" s="4">
        <f t="shared" ref="U13:V13" si="25">+U9-U12</f>
        <v>122621</v>
      </c>
      <c r="V13" s="4">
        <f t="shared" si="25"/>
        <v>114301</v>
      </c>
      <c r="W13" s="4">
        <f t="shared" ref="W13" si="26">+W9-W12</f>
        <v>118728.39000000001</v>
      </c>
      <c r="X13" s="4">
        <f t="shared" ref="X13" si="27">+X9-X12</f>
        <v>123265.74150000005</v>
      </c>
      <c r="Y13" s="4">
        <f>+Y9-Y12</f>
        <v>127915.46786700004</v>
      </c>
      <c r="Z13" s="4">
        <f t="shared" ref="Z13:AH13" si="28">+Z9-Z12</f>
        <v>132680.03287671003</v>
      </c>
      <c r="AA13" s="4">
        <f t="shared" si="28"/>
        <v>137561.95174313791</v>
      </c>
      <c r="AB13" s="4">
        <f t="shared" si="28"/>
        <v>142563.79216898332</v>
      </c>
      <c r="AC13" s="4">
        <f t="shared" si="28"/>
        <v>147688.17541725544</v>
      </c>
      <c r="AD13" s="4">
        <f t="shared" si="28"/>
        <v>152937.77740454194</v>
      </c>
      <c r="AE13" s="4">
        <f t="shared" si="28"/>
        <v>158315.32981636358</v>
      </c>
      <c r="AF13" s="4">
        <f t="shared" si="28"/>
        <v>163823.62124505898</v>
      </c>
      <c r="AG13" s="4">
        <f t="shared" si="28"/>
        <v>169465.49835065193</v>
      </c>
      <c r="AH13" s="4">
        <f t="shared" si="28"/>
        <v>175243.86704516373</v>
      </c>
      <c r="AI13" s="4">
        <f t="shared" ref="AI13:AM13" si="29">+AI9-AI12</f>
        <v>181161.69370084073</v>
      </c>
      <c r="AJ13" s="4">
        <f t="shared" si="29"/>
        <v>187222.00638277896</v>
      </c>
      <c r="AK13" s="4">
        <f t="shared" si="29"/>
        <v>193427.89610643522</v>
      </c>
      <c r="AL13" s="4">
        <f t="shared" si="29"/>
        <v>199782.51812052459</v>
      </c>
      <c r="AM13" s="4">
        <f t="shared" si="29"/>
        <v>206289.09321581532</v>
      </c>
    </row>
    <row r="14" spans="1:39" x14ac:dyDescent="0.2">
      <c r="A14" t="s">
        <v>36</v>
      </c>
      <c r="B14" s="1">
        <v>-247</v>
      </c>
      <c r="C14" s="1">
        <v>160</v>
      </c>
      <c r="D14" s="1">
        <v>-10</v>
      </c>
      <c r="E14" s="1">
        <f>-334-B14-C14-D14</f>
        <v>-237</v>
      </c>
      <c r="F14" s="1">
        <v>-393</v>
      </c>
      <c r="G14" s="1">
        <v>64</v>
      </c>
      <c r="H14" s="1">
        <v>-265</v>
      </c>
      <c r="I14" s="1">
        <f>-565-F14-G14-H14</f>
        <v>29</v>
      </c>
      <c r="J14" s="1">
        <v>-50</v>
      </c>
      <c r="K14" s="1">
        <v>158</v>
      </c>
      <c r="L14" s="1">
        <v>142</v>
      </c>
      <c r="M14" s="1"/>
      <c r="N14" s="1"/>
      <c r="O14" s="1"/>
      <c r="P14" s="1"/>
      <c r="Q14" s="1"/>
      <c r="R14" s="1"/>
      <c r="S14" s="1"/>
      <c r="T14" s="1"/>
      <c r="U14" s="1">
        <f t="shared" ref="U14:V16" si="30">SUM(E14:H14)</f>
        <v>-831</v>
      </c>
      <c r="V14" s="1">
        <f t="shared" si="30"/>
        <v>-565</v>
      </c>
      <c r="W14" s="10">
        <f>+V28*$O$5</f>
        <v>510.11</v>
      </c>
      <c r="X14" s="10">
        <f>+W28*0.02</f>
        <v>3047.2745</v>
      </c>
      <c r="Y14" s="10">
        <f t="shared" ref="Y14:AM14" si="31">+X28*0.02</f>
        <v>5194.5957720000006</v>
      </c>
      <c r="Z14" s="10">
        <f t="shared" si="31"/>
        <v>7457.4668538630012</v>
      </c>
      <c r="AA14" s="10">
        <f t="shared" si="31"/>
        <v>9839.8043492827419</v>
      </c>
      <c r="AB14" s="10">
        <f t="shared" si="31"/>
        <v>12345.634202853893</v>
      </c>
      <c r="AC14" s="10">
        <f t="shared" si="31"/>
        <v>14979.094451175126</v>
      </c>
      <c r="AD14" s="10">
        <f t="shared" si="31"/>
        <v>17744.438038938442</v>
      </c>
      <c r="AE14" s="10">
        <f t="shared" si="31"/>
        <v>20646.035701477613</v>
      </c>
      <c r="AF14" s="10">
        <f t="shared" si="31"/>
        <v>23688.378915280915</v>
      </c>
      <c r="AG14" s="10">
        <f t="shared" si="31"/>
        <v>26876.082918006694</v>
      </c>
      <c r="AH14" s="10">
        <f t="shared" si="31"/>
        <v>30213.889799573892</v>
      </c>
      <c r="AI14" s="10">
        <f t="shared" si="31"/>
        <v>33706.671665934431</v>
      </c>
      <c r="AJ14" s="10">
        <f t="shared" si="31"/>
        <v>37359.433877169613</v>
      </c>
      <c r="AK14" s="10">
        <f t="shared" si="31"/>
        <v>41177.318361588739</v>
      </c>
      <c r="AL14" s="10">
        <f t="shared" si="31"/>
        <v>45165.607007545143</v>
      </c>
      <c r="AM14" s="10">
        <f t="shared" si="31"/>
        <v>49329.725134722328</v>
      </c>
    </row>
    <row r="15" spans="1:39" x14ac:dyDescent="0.2">
      <c r="A15" t="s">
        <v>37</v>
      </c>
      <c r="B15" s="1">
        <v>41241</v>
      </c>
      <c r="C15" s="1">
        <v>30139</v>
      </c>
      <c r="D15" s="1">
        <v>23066</v>
      </c>
      <c r="E15" s="1">
        <f>119103-B15-C15-D15</f>
        <v>24657</v>
      </c>
      <c r="F15" s="1">
        <v>35623</v>
      </c>
      <c r="G15" s="1">
        <v>28382</v>
      </c>
      <c r="H15" s="1">
        <v>22733</v>
      </c>
      <c r="I15" s="1">
        <f>113736-F15-G15-H15</f>
        <v>26998</v>
      </c>
      <c r="J15" s="1">
        <v>40323</v>
      </c>
      <c r="K15" s="1">
        <v>28058</v>
      </c>
      <c r="L15" s="1">
        <v>25494</v>
      </c>
      <c r="M15" s="1"/>
      <c r="N15" s="1"/>
      <c r="O15" s="1"/>
      <c r="P15" s="1"/>
      <c r="Q15" s="1"/>
      <c r="R15" s="1"/>
      <c r="S15" s="1"/>
      <c r="T15" s="1"/>
      <c r="U15" s="1">
        <f t="shared" si="30"/>
        <v>111395</v>
      </c>
      <c r="V15" s="1">
        <f t="shared" si="30"/>
        <v>113736</v>
      </c>
      <c r="W15" s="1">
        <f>+W13+W14</f>
        <v>119238.50000000001</v>
      </c>
      <c r="X15" s="1">
        <f>+X13+X14</f>
        <v>126313.01600000005</v>
      </c>
      <c r="Y15" s="1">
        <f>+Y13+Y14</f>
        <v>133110.06363900006</v>
      </c>
      <c r="Z15" s="1">
        <f t="shared" ref="Z15:AH15" si="32">+Z13+Z14</f>
        <v>140137.49973057304</v>
      </c>
      <c r="AA15" s="1">
        <f t="shared" si="32"/>
        <v>147401.75609242066</v>
      </c>
      <c r="AB15" s="1">
        <f t="shared" si="32"/>
        <v>154909.42637183721</v>
      </c>
      <c r="AC15" s="1">
        <f t="shared" si="32"/>
        <v>162667.26986843057</v>
      </c>
      <c r="AD15" s="1">
        <f t="shared" si="32"/>
        <v>170682.21544348038</v>
      </c>
      <c r="AE15" s="1">
        <f t="shared" si="32"/>
        <v>178961.36551784119</v>
      </c>
      <c r="AF15" s="1">
        <f t="shared" si="32"/>
        <v>187512.0001603399</v>
      </c>
      <c r="AG15" s="1">
        <f t="shared" si="32"/>
        <v>196341.58126865863</v>
      </c>
      <c r="AH15" s="1">
        <f t="shared" si="32"/>
        <v>205457.75684473763</v>
      </c>
      <c r="AI15" s="1">
        <f t="shared" ref="AI15:AM15" si="33">+AI13+AI14</f>
        <v>214868.36536677516</v>
      </c>
      <c r="AJ15" s="1">
        <f t="shared" si="33"/>
        <v>224581.44025994858</v>
      </c>
      <c r="AK15" s="1">
        <f t="shared" si="33"/>
        <v>234605.21446802397</v>
      </c>
      <c r="AL15" s="1">
        <f t="shared" si="33"/>
        <v>244948.12512806972</v>
      </c>
      <c r="AM15" s="1">
        <f t="shared" si="33"/>
        <v>255618.81835053765</v>
      </c>
    </row>
    <row r="16" spans="1:39" x14ac:dyDescent="0.2">
      <c r="A16" t="s">
        <v>33</v>
      </c>
      <c r="B16" s="1">
        <v>6611</v>
      </c>
      <c r="C16" s="1">
        <v>5129</v>
      </c>
      <c r="D16" s="1">
        <v>3624</v>
      </c>
      <c r="E16" s="1">
        <f>19300-B16-C16-D16</f>
        <v>3936</v>
      </c>
      <c r="F16" s="1">
        <v>5625</v>
      </c>
      <c r="G16" s="1">
        <v>4222</v>
      </c>
      <c r="H16" s="1">
        <v>2852</v>
      </c>
      <c r="I16" s="1">
        <f>16741-F16-G16-H16</f>
        <v>4042</v>
      </c>
      <c r="J16" s="1">
        <v>6407</v>
      </c>
      <c r="K16" s="1">
        <v>4422</v>
      </c>
      <c r="L16" s="1">
        <v>4046</v>
      </c>
      <c r="M16" s="1"/>
      <c r="N16" s="1"/>
      <c r="O16" s="1"/>
      <c r="P16" s="1"/>
      <c r="Q16" s="1"/>
      <c r="R16" s="1"/>
      <c r="S16" s="1"/>
      <c r="T16" s="1"/>
      <c r="U16" s="1">
        <f t="shared" si="30"/>
        <v>16635</v>
      </c>
      <c r="V16" s="1">
        <f t="shared" si="30"/>
        <v>16741</v>
      </c>
      <c r="W16" s="1">
        <f>+W15*0.15</f>
        <v>17885.775000000001</v>
      </c>
      <c r="X16" s="1">
        <f t="shared" ref="X16:AM16" si="34">+X15*0.15</f>
        <v>18946.952400000006</v>
      </c>
      <c r="Y16" s="1">
        <f t="shared" si="34"/>
        <v>19966.509545850007</v>
      </c>
      <c r="Z16" s="1">
        <f t="shared" si="34"/>
        <v>21020.624959585955</v>
      </c>
      <c r="AA16" s="1">
        <f t="shared" si="34"/>
        <v>22110.2634138631</v>
      </c>
      <c r="AB16" s="1">
        <f t="shared" si="34"/>
        <v>23236.413955775581</v>
      </c>
      <c r="AC16" s="1">
        <f t="shared" si="34"/>
        <v>24400.090480264585</v>
      </c>
      <c r="AD16" s="1">
        <f t="shared" si="34"/>
        <v>25602.332316522057</v>
      </c>
      <c r="AE16" s="1">
        <f t="shared" si="34"/>
        <v>26844.204827676178</v>
      </c>
      <c r="AF16" s="1">
        <f t="shared" si="34"/>
        <v>28126.800024050983</v>
      </c>
      <c r="AG16" s="1">
        <f t="shared" si="34"/>
        <v>29451.237190298794</v>
      </c>
      <c r="AH16" s="1">
        <f t="shared" si="34"/>
        <v>30818.663526710643</v>
      </c>
      <c r="AI16" s="1">
        <f t="shared" si="34"/>
        <v>32230.254805016273</v>
      </c>
      <c r="AJ16" s="1">
        <f t="shared" si="34"/>
        <v>33687.216038992286</v>
      </c>
      <c r="AK16" s="1">
        <f t="shared" si="34"/>
        <v>35190.782170203594</v>
      </c>
      <c r="AL16" s="1">
        <f t="shared" si="34"/>
        <v>36742.218769210456</v>
      </c>
      <c r="AM16" s="1">
        <f t="shared" si="34"/>
        <v>38342.822752580643</v>
      </c>
    </row>
    <row r="17" spans="1:50" ht="15" x14ac:dyDescent="0.25">
      <c r="A17" s="3" t="s">
        <v>34</v>
      </c>
      <c r="B17" s="4">
        <f t="shared" ref="B17:L17" si="35">+B15-B16</f>
        <v>34630</v>
      </c>
      <c r="C17" s="4">
        <f t="shared" si="35"/>
        <v>25010</v>
      </c>
      <c r="D17" s="4">
        <f t="shared" si="35"/>
        <v>19442</v>
      </c>
      <c r="E17" s="4">
        <f t="shared" si="35"/>
        <v>20721</v>
      </c>
      <c r="F17" s="4">
        <f t="shared" si="35"/>
        <v>29998</v>
      </c>
      <c r="G17" s="4">
        <f t="shared" si="35"/>
        <v>24160</v>
      </c>
      <c r="H17" s="4">
        <f t="shared" si="35"/>
        <v>19881</v>
      </c>
      <c r="I17" s="4">
        <f t="shared" si="35"/>
        <v>22956</v>
      </c>
      <c r="J17" s="4">
        <f t="shared" si="35"/>
        <v>33916</v>
      </c>
      <c r="K17" s="4">
        <f t="shared" si="35"/>
        <v>23636</v>
      </c>
      <c r="L17" s="4">
        <f t="shared" si="35"/>
        <v>21448</v>
      </c>
      <c r="M17" s="4"/>
      <c r="N17" s="4"/>
      <c r="O17" s="4"/>
      <c r="P17" s="4"/>
      <c r="Q17" s="4"/>
      <c r="R17" s="4"/>
      <c r="S17" s="4"/>
      <c r="T17" s="4"/>
      <c r="U17" s="4">
        <f t="shared" ref="U17:AH17" si="36">+U15-U16</f>
        <v>94760</v>
      </c>
      <c r="V17" s="4">
        <f t="shared" si="36"/>
        <v>96995</v>
      </c>
      <c r="W17" s="4">
        <f t="shared" si="36"/>
        <v>101352.72500000001</v>
      </c>
      <c r="X17" s="4">
        <f t="shared" si="36"/>
        <v>107366.06360000004</v>
      </c>
      <c r="Y17" s="4">
        <f t="shared" si="36"/>
        <v>113143.55409315004</v>
      </c>
      <c r="Z17" s="4">
        <f t="shared" si="36"/>
        <v>119116.87477098708</v>
      </c>
      <c r="AA17" s="4">
        <f t="shared" si="36"/>
        <v>125291.49267855757</v>
      </c>
      <c r="AB17" s="4">
        <f t="shared" si="36"/>
        <v>131673.01241606163</v>
      </c>
      <c r="AC17" s="4">
        <f t="shared" si="36"/>
        <v>138267.17938816597</v>
      </c>
      <c r="AD17" s="4">
        <f t="shared" si="36"/>
        <v>145079.88312695833</v>
      </c>
      <c r="AE17" s="4">
        <f t="shared" si="36"/>
        <v>152117.16069016501</v>
      </c>
      <c r="AF17" s="4">
        <f t="shared" si="36"/>
        <v>159385.20013628891</v>
      </c>
      <c r="AG17" s="4">
        <f t="shared" si="36"/>
        <v>166890.34407835983</v>
      </c>
      <c r="AH17" s="4">
        <f t="shared" si="36"/>
        <v>174639.09331802698</v>
      </c>
      <c r="AI17" s="4">
        <f t="shared" ref="AI17:AM17" si="37">+AI15-AI16</f>
        <v>182638.11056175889</v>
      </c>
      <c r="AJ17" s="4">
        <f t="shared" si="37"/>
        <v>190894.2242209563</v>
      </c>
      <c r="AK17" s="4">
        <f t="shared" si="37"/>
        <v>199414.43229782037</v>
      </c>
      <c r="AL17" s="4">
        <f t="shared" si="37"/>
        <v>208205.90635885927</v>
      </c>
      <c r="AM17" s="4">
        <f t="shared" si="37"/>
        <v>217275.99559795699</v>
      </c>
      <c r="AN17" s="4">
        <f t="shared" ref="AN17:AX17" si="38">+AM17*(1+$O$6)</f>
        <v>212930.47568599784</v>
      </c>
      <c r="AO17" s="4">
        <f t="shared" si="38"/>
        <v>208671.86617227786</v>
      </c>
      <c r="AP17" s="4">
        <f t="shared" si="38"/>
        <v>204498.42884883229</v>
      </c>
      <c r="AQ17" s="4">
        <f t="shared" si="38"/>
        <v>200408.46027185564</v>
      </c>
      <c r="AR17" s="4">
        <f t="shared" si="38"/>
        <v>196400.29106641852</v>
      </c>
      <c r="AS17" s="4">
        <f t="shared" si="38"/>
        <v>192472.28524509014</v>
      </c>
      <c r="AT17" s="4">
        <f t="shared" si="38"/>
        <v>188622.83954018835</v>
      </c>
      <c r="AU17" s="4">
        <f t="shared" si="38"/>
        <v>184850.38274938459</v>
      </c>
      <c r="AV17" s="4">
        <f t="shared" si="38"/>
        <v>181153.37509439691</v>
      </c>
      <c r="AW17" s="4">
        <f t="shared" si="38"/>
        <v>177530.30759250897</v>
      </c>
      <c r="AX17" s="4">
        <f t="shared" si="38"/>
        <v>173979.70144065877</v>
      </c>
    </row>
    <row r="18" spans="1:50" x14ac:dyDescent="0.2">
      <c r="A18" t="s">
        <v>1</v>
      </c>
      <c r="B18" s="5">
        <f t="shared" ref="B18:L18" si="39">+B17/B19</f>
        <v>2.1126514819307598</v>
      </c>
      <c r="C18" s="5">
        <f t="shared" si="39"/>
        <v>1.5363538422544853</v>
      </c>
      <c r="D18" s="5">
        <f t="shared" si="39"/>
        <v>1.2028748473746584</v>
      </c>
      <c r="E18" s="5">
        <f t="shared" si="39"/>
        <v>1.2778149530804923</v>
      </c>
      <c r="F18" s="5">
        <f t="shared" si="39"/>
        <v>1.8875305383476451</v>
      </c>
      <c r="G18" s="5">
        <f t="shared" si="39"/>
        <v>1.5303581633523053</v>
      </c>
      <c r="H18" s="5">
        <f t="shared" si="39"/>
        <v>1.2664982079442137</v>
      </c>
      <c r="I18" s="5">
        <f t="shared" si="39"/>
        <v>1.4580578752941316</v>
      </c>
      <c r="J18" s="5">
        <f t="shared" si="39"/>
        <v>2.1867516608732189</v>
      </c>
      <c r="K18" s="5">
        <f t="shared" si="39"/>
        <v>1.5342217920250585</v>
      </c>
      <c r="L18" s="5">
        <f t="shared" si="39"/>
        <v>1.4029743605912299</v>
      </c>
      <c r="M18" s="5"/>
      <c r="N18" s="5"/>
      <c r="O18" s="5"/>
      <c r="P18" s="5"/>
      <c r="Q18" s="5"/>
      <c r="U18" s="5">
        <f t="shared" ref="U18:AH18" si="40">+U17/U19</f>
        <v>5.8269530830967726</v>
      </c>
      <c r="V18" s="5">
        <f t="shared" si="40"/>
        <v>6.1465370035373876</v>
      </c>
      <c r="W18" s="5">
        <f t="shared" si="40"/>
        <v>6.4226844128238456</v>
      </c>
      <c r="X18" s="5">
        <f t="shared" si="40"/>
        <v>6.803747438956119</v>
      </c>
      <c r="Y18" s="5">
        <f t="shared" si="40"/>
        <v>7.1698648584492064</v>
      </c>
      <c r="Z18" s="5">
        <f t="shared" si="40"/>
        <v>7.5483919637672168</v>
      </c>
      <c r="AA18" s="5">
        <f t="shared" si="40"/>
        <v>7.9396751995173744</v>
      </c>
      <c r="AB18" s="5">
        <f t="shared" si="40"/>
        <v>8.3440697271257349</v>
      </c>
      <c r="AC18" s="5">
        <f t="shared" si="40"/>
        <v>8.7619396307449264</v>
      </c>
      <c r="AD18" s="5">
        <f t="shared" si="40"/>
        <v>9.1936581278285363</v>
      </c>
      <c r="AE18" s="5">
        <f t="shared" si="40"/>
        <v>9.639607784474892</v>
      </c>
      <c r="AF18" s="5">
        <f t="shared" si="40"/>
        <v>10.10018073564526</v>
      </c>
      <c r="AG18" s="5">
        <f t="shared" si="40"/>
        <v>10.575778910363683</v>
      </c>
      <c r="AH18" s="5">
        <f t="shared" si="40"/>
        <v>11.066814262008059</v>
      </c>
      <c r="AI18" s="5">
        <f t="shared" ref="AI18:AM18" si="41">+AI17/AI19</f>
        <v>11.573709003804357</v>
      </c>
      <c r="AJ18" s="5">
        <f t="shared" si="41"/>
        <v>12.096895849638342</v>
      </c>
      <c r="AK18" s="5">
        <f t="shared" si="41"/>
        <v>12.636818260301604</v>
      </c>
      <c r="AL18" s="5">
        <f t="shared" si="41"/>
        <v>13.193930695291188</v>
      </c>
      <c r="AM18" s="5">
        <f t="shared" si="41"/>
        <v>13.768698870284748</v>
      </c>
    </row>
    <row r="19" spans="1:50" x14ac:dyDescent="0.2">
      <c r="A19" t="s">
        <v>35</v>
      </c>
      <c r="B19" s="1">
        <v>16391.723999999998</v>
      </c>
      <c r="C19" s="1">
        <v>16278.802</v>
      </c>
      <c r="D19" s="1">
        <v>16162.945</v>
      </c>
      <c r="E19" s="1">
        <v>16215.963</v>
      </c>
      <c r="F19" s="1">
        <v>15892.723</v>
      </c>
      <c r="G19" s="1">
        <v>15787.154</v>
      </c>
      <c r="H19" s="1">
        <v>15697.614</v>
      </c>
      <c r="I19" s="1">
        <v>15744.231</v>
      </c>
      <c r="J19" s="1">
        <v>15509.763000000001</v>
      </c>
      <c r="K19" s="1">
        <v>15405.856</v>
      </c>
      <c r="L19" s="1">
        <v>15287.521000000001</v>
      </c>
      <c r="M19" s="1"/>
      <c r="N19" s="1"/>
      <c r="O19" s="1"/>
      <c r="P19" s="1"/>
      <c r="Q19" s="1"/>
      <c r="U19" s="1">
        <f>AVERAGE(B19:E19)</f>
        <v>16262.358499999998</v>
      </c>
      <c r="V19" s="1">
        <f>AVERAGE(F19:I19)</f>
        <v>15780.4305</v>
      </c>
      <c r="W19" s="1">
        <f>+V19</f>
        <v>15780.4305</v>
      </c>
      <c r="X19" s="1">
        <f t="shared" ref="X19:AH19" si="42">+W19</f>
        <v>15780.4305</v>
      </c>
      <c r="Y19" s="1">
        <f t="shared" si="42"/>
        <v>15780.4305</v>
      </c>
      <c r="Z19" s="1">
        <f t="shared" si="42"/>
        <v>15780.4305</v>
      </c>
      <c r="AA19" s="1">
        <f t="shared" si="42"/>
        <v>15780.4305</v>
      </c>
      <c r="AB19" s="1">
        <f t="shared" si="42"/>
        <v>15780.4305</v>
      </c>
      <c r="AC19" s="1">
        <f t="shared" si="42"/>
        <v>15780.4305</v>
      </c>
      <c r="AD19" s="1">
        <f t="shared" si="42"/>
        <v>15780.4305</v>
      </c>
      <c r="AE19" s="1">
        <f t="shared" si="42"/>
        <v>15780.4305</v>
      </c>
      <c r="AF19" s="1">
        <f t="shared" si="42"/>
        <v>15780.4305</v>
      </c>
      <c r="AG19" s="1">
        <f t="shared" si="42"/>
        <v>15780.4305</v>
      </c>
      <c r="AH19" s="1">
        <f t="shared" si="42"/>
        <v>15780.4305</v>
      </c>
      <c r="AI19" s="1">
        <f t="shared" ref="AI19" si="43">+AH19</f>
        <v>15780.4305</v>
      </c>
      <c r="AJ19" s="1">
        <f t="shared" ref="AJ19" si="44">+AI19</f>
        <v>15780.4305</v>
      </c>
      <c r="AK19" s="1">
        <f t="shared" ref="AK19" si="45">+AJ19</f>
        <v>15780.4305</v>
      </c>
      <c r="AL19" s="1">
        <f t="shared" ref="AL19" si="46">+AK19</f>
        <v>15780.4305</v>
      </c>
      <c r="AM19" s="1">
        <f t="shared" ref="AM19" si="47">+AL19</f>
        <v>15780.4305</v>
      </c>
    </row>
    <row r="21" spans="1:50" x14ac:dyDescent="0.2">
      <c r="A21" t="s">
        <v>26</v>
      </c>
      <c r="B21" s="2">
        <f t="shared" ref="B21:L21" si="48">+B9/B5</f>
        <v>0.43763766186615033</v>
      </c>
      <c r="C21" s="2">
        <f t="shared" si="48"/>
        <v>0.43749871502292398</v>
      </c>
      <c r="D21" s="2">
        <f t="shared" si="48"/>
        <v>0.43256307332537758</v>
      </c>
      <c r="E21" s="2">
        <f t="shared" si="48"/>
        <v>0.4225922392563175</v>
      </c>
      <c r="F21" s="2">
        <f t="shared" si="48"/>
        <v>0.42962254809908323</v>
      </c>
      <c r="G21" s="2">
        <f t="shared" si="48"/>
        <v>0.44261672782487665</v>
      </c>
      <c r="H21" s="2">
        <f t="shared" si="48"/>
        <v>0.44516302553883397</v>
      </c>
      <c r="I21" s="2">
        <f t="shared" si="48"/>
        <v>0.45170841806520817</v>
      </c>
      <c r="J21" s="2">
        <f t="shared" si="48"/>
        <v>0.45874973865774621</v>
      </c>
      <c r="K21" s="2">
        <f t="shared" si="48"/>
        <v>0.46578074554009236</v>
      </c>
      <c r="L21" s="2">
        <f t="shared" si="48"/>
        <v>0.46257155181458898</v>
      </c>
      <c r="M21" s="2"/>
      <c r="N21" s="2"/>
      <c r="O21" s="2"/>
      <c r="P21" s="2"/>
      <c r="Q21" s="2"/>
      <c r="R21" s="2"/>
      <c r="S21" s="2"/>
      <c r="T21" s="2"/>
      <c r="U21" s="2">
        <f>+U9/U5</f>
        <v>0.4493999918849283</v>
      </c>
      <c r="V21" s="2">
        <f>+V9/V5</f>
        <v>0.44131129577207562</v>
      </c>
      <c r="W21" s="2">
        <f t="shared" ref="W21:AH21" si="49">+W9/W5</f>
        <v>0.44678863600960433</v>
      </c>
      <c r="X21" s="2">
        <f>+X9/X5</f>
        <v>0.45221227683303961</v>
      </c>
      <c r="Y21" s="2">
        <f>+Y9/Y5</f>
        <v>0.45758274470722549</v>
      </c>
      <c r="Z21" s="2">
        <f t="shared" si="49"/>
        <v>0.46290056093558601</v>
      </c>
      <c r="AA21" s="2">
        <f t="shared" si="49"/>
        <v>0.46816624171072729</v>
      </c>
      <c r="AB21" s="2">
        <f t="shared" si="49"/>
        <v>0.47338029816454369</v>
      </c>
      <c r="AC21" s="2">
        <f t="shared" si="49"/>
        <v>0.47854323641783247</v>
      </c>
      <c r="AD21" s="2">
        <f t="shared" si="49"/>
        <v>0.48365555762942236</v>
      </c>
      <c r="AE21" s="2">
        <f t="shared" si="49"/>
        <v>0.48871775804482021</v>
      </c>
      <c r="AF21" s="2">
        <f t="shared" si="49"/>
        <v>0.4937303290443808</v>
      </c>
      <c r="AG21" s="2">
        <f t="shared" si="49"/>
        <v>0.49869375719100451</v>
      </c>
      <c r="AH21" s="2">
        <f t="shared" si="49"/>
        <v>0.50360852427736724</v>
      </c>
    </row>
    <row r="22" spans="1:50" x14ac:dyDescent="0.2">
      <c r="A22" t="s">
        <v>32</v>
      </c>
      <c r="B22" s="2">
        <f t="shared" ref="B22:L22" si="50">+B13/B5</f>
        <v>0.33472911371979508</v>
      </c>
      <c r="C22" s="2">
        <f t="shared" si="50"/>
        <v>0.30817862209338187</v>
      </c>
      <c r="D22" s="2">
        <f t="shared" si="50"/>
        <v>0.27816150146457891</v>
      </c>
      <c r="E22" s="2">
        <f t="shared" si="50"/>
        <v>0.27615202005635303</v>
      </c>
      <c r="F22" s="2">
        <f t="shared" si="50"/>
        <v>0.30742441572630896</v>
      </c>
      <c r="G22" s="2">
        <f t="shared" si="50"/>
        <v>0.29859968788223878</v>
      </c>
      <c r="H22" s="2">
        <f t="shared" si="50"/>
        <v>0.28115945572576012</v>
      </c>
      <c r="I22" s="2">
        <f t="shared" si="50"/>
        <v>0.30133634271156895</v>
      </c>
      <c r="J22" s="2">
        <f t="shared" si="50"/>
        <v>0.33763746602550698</v>
      </c>
      <c r="K22" s="2">
        <f t="shared" si="50"/>
        <v>0.30742785362467356</v>
      </c>
      <c r="L22" s="2">
        <f t="shared" si="50"/>
        <v>0.29555708406682446</v>
      </c>
      <c r="M22" s="2"/>
      <c r="N22" s="2"/>
      <c r="O22" s="2"/>
      <c r="P22" s="2"/>
      <c r="Q22" s="2"/>
      <c r="R22" s="2"/>
      <c r="S22" s="2"/>
      <c r="T22" s="2"/>
      <c r="U22" s="2">
        <f>+U13/U5</f>
        <v>0.31096194031364754</v>
      </c>
      <c r="V22" s="2">
        <f>+V13/V5</f>
        <v>0.29821412265024722</v>
      </c>
      <c r="W22" s="2">
        <f t="shared" ref="W22:AH22" si="51">+W13/W5</f>
        <v>0.30369146288777588</v>
      </c>
      <c r="X22" s="2">
        <f>+X13/X5</f>
        <v>0.3091151037112112</v>
      </c>
      <c r="Y22" s="2">
        <f>+Y13/Y5</f>
        <v>0.31448557158539708</v>
      </c>
      <c r="Z22" s="2">
        <f t="shared" si="51"/>
        <v>0.31980338781375761</v>
      </c>
      <c r="AA22" s="2">
        <f t="shared" si="51"/>
        <v>0.32506906858889889</v>
      </c>
      <c r="AB22" s="2">
        <f t="shared" si="51"/>
        <v>0.33028312504271529</v>
      </c>
      <c r="AC22" s="2">
        <f t="shared" si="51"/>
        <v>0.33544606329600407</v>
      </c>
      <c r="AD22" s="2">
        <f t="shared" si="51"/>
        <v>0.34055838450759396</v>
      </c>
      <c r="AE22" s="2">
        <f t="shared" si="51"/>
        <v>0.34562058492299175</v>
      </c>
      <c r="AF22" s="2">
        <f t="shared" si="51"/>
        <v>0.3506331559225524</v>
      </c>
      <c r="AG22" s="2">
        <f t="shared" si="51"/>
        <v>0.35559658406917605</v>
      </c>
      <c r="AH22" s="2">
        <f t="shared" si="51"/>
        <v>0.36051135115553884</v>
      </c>
    </row>
    <row r="23" spans="1:50" x14ac:dyDescent="0.2">
      <c r="A23" t="s">
        <v>38</v>
      </c>
      <c r="B23" s="2">
        <f t="shared" ref="B23:L23" si="52">+B17/B5</f>
        <v>0.27939812013393039</v>
      </c>
      <c r="C23" s="2">
        <f t="shared" si="52"/>
        <v>0.25709821336787353</v>
      </c>
      <c r="D23" s="2">
        <f t="shared" si="52"/>
        <v>0.23435673043310551</v>
      </c>
      <c r="E23" s="2">
        <f t="shared" si="52"/>
        <v>0.22986044860559537</v>
      </c>
      <c r="F23" s="2">
        <f t="shared" si="52"/>
        <v>0.2560561312460522</v>
      </c>
      <c r="G23" s="2">
        <f t="shared" si="52"/>
        <v>0.25475557805052934</v>
      </c>
      <c r="H23" s="2">
        <f t="shared" si="52"/>
        <v>0.24305292370135825</v>
      </c>
      <c r="I23" s="2">
        <f t="shared" si="52"/>
        <v>0.25649735189613176</v>
      </c>
      <c r="J23" s="2">
        <f t="shared" si="52"/>
        <v>0.28363788417311309</v>
      </c>
      <c r="K23" s="2">
        <f t="shared" si="52"/>
        <v>0.26044318094167684</v>
      </c>
      <c r="L23" s="2">
        <f t="shared" si="52"/>
        <v>0.25004371801298714</v>
      </c>
      <c r="M23" s="2"/>
      <c r="N23" s="2"/>
      <c r="O23" s="2"/>
      <c r="P23" s="2"/>
      <c r="Q23" s="2"/>
      <c r="R23" s="2"/>
      <c r="S23" s="2"/>
      <c r="T23" s="2"/>
      <c r="U23" s="2">
        <f>+U17/U5</f>
        <v>0.24030756121807226</v>
      </c>
      <c r="V23" s="2">
        <f>+V17/V5</f>
        <v>0.25306234264320282</v>
      </c>
      <c r="W23" s="2">
        <f t="shared" ref="W23:AH23" si="53">+W17/W5</f>
        <v>0.2592468180770619</v>
      </c>
      <c r="X23" s="2">
        <f>+X17/X5</f>
        <v>0.26924327457826958</v>
      </c>
      <c r="Y23" s="2">
        <f>+Y17/Y5</f>
        <v>0.27816819868246068</v>
      </c>
      <c r="Z23" s="2">
        <f t="shared" si="53"/>
        <v>0.2871116269088263</v>
      </c>
      <c r="AA23" s="2">
        <f t="shared" si="53"/>
        <v>0.29607306606976252</v>
      </c>
      <c r="AB23" s="2">
        <f t="shared" si="53"/>
        <v>0.30505202872982212</v>
      </c>
      <c r="AC23" s="2">
        <f t="shared" si="53"/>
        <v>0.31404803314662411</v>
      </c>
      <c r="AD23" s="2">
        <f t="shared" si="53"/>
        <v>0.32306060321235025</v>
      </c>
      <c r="AE23" s="2">
        <f t="shared" si="53"/>
        <v>0.3320892683958227</v>
      </c>
      <c r="AF23" s="2">
        <f t="shared" si="53"/>
        <v>0.34113356368515846</v>
      </c>
      <c r="AG23" s="2">
        <f t="shared" si="53"/>
        <v>0.35019302953099241</v>
      </c>
      <c r="AH23" s="2">
        <f t="shared" si="53"/>
        <v>0.35926721179026649</v>
      </c>
    </row>
    <row r="24" spans="1:50" x14ac:dyDescent="0.2">
      <c r="A24" t="s">
        <v>39</v>
      </c>
      <c r="B24" s="2">
        <f t="shared" ref="B24:L24" si="54">+B16/B15</f>
        <v>0.16030164157028201</v>
      </c>
      <c r="C24" s="2">
        <f t="shared" si="54"/>
        <v>0.17017817445834302</v>
      </c>
      <c r="D24" s="2">
        <f t="shared" si="54"/>
        <v>0.15711436746726784</v>
      </c>
      <c r="E24" s="2">
        <f t="shared" si="54"/>
        <v>0.15963012531938192</v>
      </c>
      <c r="F24" s="14" t="s">
        <v>71</v>
      </c>
      <c r="G24" s="2">
        <f t="shared" si="54"/>
        <v>0.14875625396377987</v>
      </c>
      <c r="H24" s="2">
        <f t="shared" si="54"/>
        <v>0.12545638499098227</v>
      </c>
      <c r="I24" s="2">
        <f t="shared" si="54"/>
        <v>0.14971479368842136</v>
      </c>
      <c r="J24" s="2">
        <f t="shared" si="54"/>
        <v>0.15889194752374575</v>
      </c>
      <c r="K24" s="2">
        <f t="shared" si="54"/>
        <v>0.1576021099151757</v>
      </c>
      <c r="L24" s="2">
        <f t="shared" si="54"/>
        <v>0.15870400878638111</v>
      </c>
      <c r="M24" s="2"/>
      <c r="N24" s="2"/>
      <c r="O24" s="2"/>
      <c r="P24" s="2"/>
      <c r="Q24" s="2"/>
      <c r="R24" s="2"/>
      <c r="S24" s="2"/>
      <c r="T24" s="2"/>
      <c r="U24" s="2">
        <f>+U16/U15</f>
        <v>0.14933345302751469</v>
      </c>
      <c r="V24" s="2">
        <f>+V16/V15</f>
        <v>0.14719174228036858</v>
      </c>
      <c r="W24" s="2">
        <f t="shared" ref="W24:AH24" si="55">+W16/W15</f>
        <v>0.15</v>
      </c>
      <c r="X24" s="2">
        <f t="shared" si="55"/>
        <v>0.15</v>
      </c>
      <c r="Y24" s="2">
        <f t="shared" si="55"/>
        <v>0.15</v>
      </c>
      <c r="Z24" s="2">
        <f t="shared" si="55"/>
        <v>0.15</v>
      </c>
      <c r="AA24" s="2">
        <f t="shared" si="55"/>
        <v>0.15</v>
      </c>
      <c r="AB24" s="2">
        <f t="shared" si="55"/>
        <v>0.15</v>
      </c>
      <c r="AC24" s="2">
        <f t="shared" si="55"/>
        <v>0.15</v>
      </c>
      <c r="AD24" s="2">
        <f t="shared" si="55"/>
        <v>0.15</v>
      </c>
      <c r="AE24" s="2">
        <f t="shared" si="55"/>
        <v>0.15</v>
      </c>
      <c r="AF24" s="2">
        <f t="shared" si="55"/>
        <v>0.15</v>
      </c>
      <c r="AG24" s="2">
        <f t="shared" si="55"/>
        <v>0.15</v>
      </c>
      <c r="AH24" s="2">
        <f t="shared" si="55"/>
        <v>0.15</v>
      </c>
    </row>
    <row r="26" spans="1:50" ht="15" x14ac:dyDescent="0.25">
      <c r="A26" s="3" t="s">
        <v>40</v>
      </c>
      <c r="B26" s="3"/>
      <c r="C26" s="3" t="s">
        <v>6</v>
      </c>
      <c r="D26" s="6" t="s">
        <v>6</v>
      </c>
      <c r="E26" s="6" t="s">
        <v>6</v>
      </c>
      <c r="F26" s="6">
        <f t="shared" ref="F26:L26" si="56">+F5/B5-1</f>
        <v>-5.4790431239662762E-2</v>
      </c>
      <c r="G26" s="6">
        <f t="shared" si="56"/>
        <v>-2.5103312156911084E-2</v>
      </c>
      <c r="H26" s="6">
        <f t="shared" si="56"/>
        <v>-1.4006919080509661E-2</v>
      </c>
      <c r="I26" s="6">
        <f t="shared" si="56"/>
        <v>-7.1883389168682088E-3</v>
      </c>
      <c r="J26" s="6">
        <f t="shared" si="56"/>
        <v>2.0665107465387411E-2</v>
      </c>
      <c r="K26" s="6">
        <f t="shared" si="56"/>
        <v>-4.3053270909781061E-2</v>
      </c>
      <c r="L26" s="6">
        <f t="shared" si="56"/>
        <v>4.8657041211780383E-2</v>
      </c>
      <c r="M26" s="6"/>
      <c r="N26" s="6"/>
      <c r="O26" s="6"/>
      <c r="P26" s="6"/>
      <c r="Q26" s="6"/>
      <c r="R26" s="6"/>
      <c r="S26" s="6"/>
      <c r="T26" s="6" t="s">
        <v>6</v>
      </c>
      <c r="U26" t="s">
        <v>6</v>
      </c>
      <c r="V26" s="6">
        <f>+V5/U5-1</f>
        <v>-2.800460530319937E-2</v>
      </c>
      <c r="W26" s="6">
        <f t="shared" ref="W26:AH26" si="57">+W5/V5-1</f>
        <v>2.0000000000000018E-2</v>
      </c>
      <c r="X26" s="6">
        <f>+X5/W5-1</f>
        <v>2.0000000000000018E-2</v>
      </c>
      <c r="Y26" s="6">
        <f>+Y5/X5-1</f>
        <v>2.0000000000000018E-2</v>
      </c>
      <c r="Z26" s="6">
        <f>+Z5/Y5-1</f>
        <v>2.0000000000000018E-2</v>
      </c>
      <c r="AA26" s="6">
        <f t="shared" si="57"/>
        <v>2.0000000000000018E-2</v>
      </c>
      <c r="AB26" s="6">
        <f t="shared" si="57"/>
        <v>2.0000000000000018E-2</v>
      </c>
      <c r="AC26" s="6">
        <f t="shared" si="57"/>
        <v>2.0000000000000018E-2</v>
      </c>
      <c r="AD26" s="6">
        <f t="shared" si="57"/>
        <v>2.0000000000000018E-2</v>
      </c>
      <c r="AE26" s="6">
        <f t="shared" si="57"/>
        <v>2.0000000000000018E-2</v>
      </c>
      <c r="AF26" s="6">
        <f t="shared" si="57"/>
        <v>2.0000000000000018E-2</v>
      </c>
      <c r="AG26" s="6">
        <f t="shared" si="57"/>
        <v>2.0000000000000018E-2</v>
      </c>
      <c r="AH26" s="6">
        <f t="shared" si="57"/>
        <v>2.0000000000000018E-2</v>
      </c>
    </row>
    <row r="27" spans="1:50" ht="15" x14ac:dyDescent="0.25">
      <c r="A27" s="3"/>
      <c r="B27" s="3"/>
      <c r="C27" s="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50" ht="15" x14ac:dyDescent="0.25">
      <c r="A28" s="3" t="s">
        <v>60</v>
      </c>
      <c r="B28" s="3"/>
      <c r="C28" s="3"/>
      <c r="D28" s="6"/>
      <c r="E28" s="6"/>
      <c r="F28" s="6"/>
      <c r="G28" s="6"/>
      <c r="H28" s="6"/>
      <c r="I28" s="6"/>
      <c r="J28" s="6"/>
      <c r="K28" s="6"/>
      <c r="L28" s="11">
        <f>+L30-L39</f>
        <v>51737</v>
      </c>
      <c r="M28" s="6"/>
      <c r="N28" s="6"/>
      <c r="O28" s="6"/>
      <c r="P28" s="6"/>
      <c r="Q28" s="6"/>
      <c r="R28" s="6"/>
      <c r="S28" s="6"/>
      <c r="T28" s="6"/>
      <c r="V28" s="12">
        <f>+V30-V39</f>
        <v>51011</v>
      </c>
      <c r="W28" s="12">
        <f>+V28+W17</f>
        <v>152363.72500000001</v>
      </c>
      <c r="X28" s="12">
        <f t="shared" ref="X28:AO28" si="58">+W28+X17</f>
        <v>259729.78860000003</v>
      </c>
      <c r="Y28" s="12">
        <f t="shared" si="58"/>
        <v>372873.34269315004</v>
      </c>
      <c r="Z28" s="12">
        <f t="shared" si="58"/>
        <v>491990.21746413712</v>
      </c>
      <c r="AA28" s="12">
        <f t="shared" si="58"/>
        <v>617281.71014269465</v>
      </c>
      <c r="AB28" s="12">
        <f t="shared" si="58"/>
        <v>748954.72255875624</v>
      </c>
      <c r="AC28" s="12">
        <f t="shared" si="58"/>
        <v>887221.90194692218</v>
      </c>
      <c r="AD28" s="12">
        <f t="shared" si="58"/>
        <v>1032301.7850738806</v>
      </c>
      <c r="AE28" s="12">
        <f t="shared" si="58"/>
        <v>1184418.9457640457</v>
      </c>
      <c r="AF28" s="12">
        <f t="shared" si="58"/>
        <v>1343804.1459003347</v>
      </c>
      <c r="AG28" s="12">
        <f t="shared" si="58"/>
        <v>1510694.4899786946</v>
      </c>
      <c r="AH28" s="12">
        <f t="shared" si="58"/>
        <v>1685333.5832967216</v>
      </c>
      <c r="AI28" s="12">
        <f t="shared" si="58"/>
        <v>1867971.6938584805</v>
      </c>
      <c r="AJ28" s="12">
        <f t="shared" si="58"/>
        <v>2058865.9180794368</v>
      </c>
      <c r="AK28" s="12">
        <f t="shared" si="58"/>
        <v>2258280.350377257</v>
      </c>
      <c r="AL28" s="12">
        <f t="shared" si="58"/>
        <v>2466486.2567361165</v>
      </c>
      <c r="AM28" s="12">
        <f t="shared" si="58"/>
        <v>2683762.2523340737</v>
      </c>
      <c r="AN28" s="12">
        <f t="shared" si="58"/>
        <v>2896692.7280200715</v>
      </c>
      <c r="AO28" s="12">
        <f t="shared" si="58"/>
        <v>3105364.5941923494</v>
      </c>
    </row>
    <row r="29" spans="1:50" x14ac:dyDescent="0.2">
      <c r="G29" s="1" t="s">
        <v>6</v>
      </c>
      <c r="K29" s="2"/>
      <c r="L29" s="2"/>
      <c r="Y29" t="s">
        <v>66</v>
      </c>
    </row>
    <row r="30" spans="1:50" x14ac:dyDescent="0.2">
      <c r="A30" t="s">
        <v>41</v>
      </c>
      <c r="G30" s="1"/>
      <c r="K30" s="1"/>
      <c r="L30" s="1">
        <f>25565+36236+91240</f>
        <v>153041</v>
      </c>
      <c r="V30">
        <f>29965+31590+100544</f>
        <v>162099</v>
      </c>
      <c r="Z30" t="s">
        <v>6</v>
      </c>
    </row>
    <row r="31" spans="1:50" x14ac:dyDescent="0.2">
      <c r="A31" t="s">
        <v>42</v>
      </c>
      <c r="G31" s="1"/>
      <c r="K31" s="1"/>
      <c r="L31" s="1">
        <v>22795</v>
      </c>
      <c r="V31">
        <v>29508</v>
      </c>
    </row>
    <row r="32" spans="1:50" x14ac:dyDescent="0.2">
      <c r="A32" t="s">
        <v>44</v>
      </c>
      <c r="G32" s="1"/>
      <c r="K32" s="1"/>
      <c r="L32" s="1">
        <v>20377</v>
      </c>
      <c r="V32">
        <v>31477</v>
      </c>
    </row>
    <row r="33" spans="1:37" x14ac:dyDescent="0.2">
      <c r="A33" t="s">
        <v>43</v>
      </c>
      <c r="E33" t="s">
        <v>6</v>
      </c>
      <c r="G33" s="1"/>
      <c r="K33" s="1"/>
      <c r="L33" s="1">
        <v>6165</v>
      </c>
      <c r="V33">
        <v>6331</v>
      </c>
    </row>
    <row r="34" spans="1:37" x14ac:dyDescent="0.2">
      <c r="A34" t="s">
        <v>45</v>
      </c>
      <c r="E34" t="s">
        <v>6</v>
      </c>
      <c r="G34" s="1"/>
      <c r="K34" s="1"/>
      <c r="L34" s="1">
        <v>14297</v>
      </c>
      <c r="V34">
        <v>14695</v>
      </c>
    </row>
    <row r="35" spans="1:37" x14ac:dyDescent="0.2">
      <c r="A35" t="s">
        <v>47</v>
      </c>
      <c r="G35" s="1"/>
      <c r="K35" s="1"/>
      <c r="L35" s="1">
        <v>44502</v>
      </c>
      <c r="V35">
        <v>43715</v>
      </c>
    </row>
    <row r="36" spans="1:37" x14ac:dyDescent="0.2">
      <c r="A36" t="s">
        <v>46</v>
      </c>
      <c r="G36" s="1"/>
      <c r="K36" s="1"/>
      <c r="L36" s="1">
        <v>70435</v>
      </c>
      <c r="V36">
        <v>64758</v>
      </c>
    </row>
    <row r="37" spans="1:37" ht="15" x14ac:dyDescent="0.25">
      <c r="A37" s="3" t="s">
        <v>53</v>
      </c>
      <c r="B37" s="3"/>
      <c r="C37" s="3"/>
      <c r="D37" s="3"/>
      <c r="E37" s="3"/>
      <c r="F37" s="3"/>
      <c r="G37" s="4"/>
      <c r="K37" s="4"/>
      <c r="L37" s="4">
        <f>SUM(L30:L36)</f>
        <v>331612</v>
      </c>
      <c r="V37" s="3">
        <f>SUM(V30:V36)</f>
        <v>352583</v>
      </c>
      <c r="AK37" s="2" t="s">
        <v>6</v>
      </c>
    </row>
    <row r="38" spans="1:37" x14ac:dyDescent="0.2">
      <c r="G38" s="1"/>
      <c r="K38" s="1"/>
      <c r="L38" s="1"/>
    </row>
    <row r="39" spans="1:37" x14ac:dyDescent="0.2">
      <c r="A39" t="s">
        <v>3</v>
      </c>
      <c r="G39" s="1"/>
      <c r="K39" s="1"/>
      <c r="L39" s="1">
        <f>2994+12114+86196</f>
        <v>101304</v>
      </c>
      <c r="V39">
        <f>9822+95281+5985</f>
        <v>111088</v>
      </c>
    </row>
    <row r="40" spans="1:37" x14ac:dyDescent="0.2">
      <c r="A40" t="s">
        <v>49</v>
      </c>
      <c r="G40" s="1"/>
      <c r="K40" s="1"/>
      <c r="L40" s="1">
        <v>47574</v>
      </c>
      <c r="V40">
        <v>62611</v>
      </c>
    </row>
    <row r="41" spans="1:37" x14ac:dyDescent="0.2">
      <c r="A41" t="s">
        <v>52</v>
      </c>
      <c r="G41" s="1"/>
      <c r="K41" s="1"/>
      <c r="L41" s="1">
        <v>60889</v>
      </c>
      <c r="V41">
        <v>58829</v>
      </c>
    </row>
    <row r="42" spans="1:37" x14ac:dyDescent="0.2">
      <c r="A42" t="s">
        <v>51</v>
      </c>
      <c r="G42" s="1"/>
      <c r="K42" s="1"/>
      <c r="L42" s="1">
        <v>8053</v>
      </c>
      <c r="V42">
        <v>8061</v>
      </c>
    </row>
    <row r="43" spans="1:37" x14ac:dyDescent="0.2">
      <c r="A43" t="s">
        <v>50</v>
      </c>
      <c r="G43" s="1"/>
      <c r="K43" s="1"/>
      <c r="L43" s="1">
        <v>47084</v>
      </c>
      <c r="V43">
        <v>49848</v>
      </c>
    </row>
    <row r="44" spans="1:37" ht="15" x14ac:dyDescent="0.25">
      <c r="A44" s="3" t="s">
        <v>48</v>
      </c>
      <c r="B44" s="3"/>
      <c r="C44" s="3"/>
      <c r="D44" s="3"/>
      <c r="E44" s="3"/>
      <c r="F44" s="3"/>
      <c r="G44" s="4"/>
      <c r="K44" s="4"/>
      <c r="L44" s="4">
        <f>SUM(L39:L43)</f>
        <v>264904</v>
      </c>
      <c r="V44" s="3">
        <f>SUM(V39:V43)</f>
        <v>290437</v>
      </c>
    </row>
    <row r="45" spans="1:37" x14ac:dyDescent="0.2">
      <c r="G45" s="1"/>
      <c r="K45" s="1"/>
      <c r="L45" s="1"/>
    </row>
    <row r="46" spans="1:37" x14ac:dyDescent="0.2">
      <c r="A46" t="s">
        <v>54</v>
      </c>
      <c r="G46" s="1"/>
      <c r="K46" s="1"/>
      <c r="L46" s="1">
        <f>+L37-L44</f>
        <v>66708</v>
      </c>
      <c r="V46">
        <f>+V37-V44</f>
        <v>62146</v>
      </c>
    </row>
    <row r="47" spans="1:37" x14ac:dyDescent="0.2">
      <c r="A47" t="s">
        <v>55</v>
      </c>
      <c r="G47" s="1"/>
      <c r="K47" s="1"/>
      <c r="L47" s="1">
        <f>+L44+L46</f>
        <v>331612</v>
      </c>
      <c r="V47">
        <f>+V44+V46</f>
        <v>352583</v>
      </c>
    </row>
    <row r="49" spans="1:22" x14ac:dyDescent="0.2">
      <c r="A49" t="s">
        <v>68</v>
      </c>
      <c r="V49" s="7">
        <f>+V17/V37</f>
        <v>0.27509834563776475</v>
      </c>
    </row>
    <row r="50" spans="1:22" x14ac:dyDescent="0.2">
      <c r="A50" t="s">
        <v>69</v>
      </c>
      <c r="V50" s="7">
        <f>+V17/V46</f>
        <v>1.5607601454639075</v>
      </c>
    </row>
  </sheetData>
  <pageMargins left="0.7" right="0.7" top="0.75" bottom="0.75" header="0.3" footer="0.3"/>
  <pageSetup paperSize="9" orientation="portrait" horizontalDpi="0" verticalDpi="0" r:id="rId1"/>
  <ignoredErrors>
    <ignoredError sqref="U19:V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2024-08-09T13:02:07Z</dcterms:created>
  <dcterms:modified xsi:type="dcterms:W3CDTF">2025-02-23T17:03:49Z</dcterms:modified>
</cp:coreProperties>
</file>