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Financials/STOCKS/"/>
    </mc:Choice>
  </mc:AlternateContent>
  <xr:revisionPtr revIDLastSave="786" documentId="11_FE4855BF84DCCE436F107A399131F45B7AFB1D1F" xr6:coauthVersionLast="47" xr6:coauthVersionMax="47" xr10:uidLastSave="{7E7CDA5E-3DFD-4C35-8092-8248D2205AC6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Competito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2" l="1"/>
  <c r="M19" i="2"/>
  <c r="M23" i="2"/>
  <c r="M16" i="2"/>
  <c r="M17" i="2" s="1"/>
  <c r="M15" i="2"/>
  <c r="M14" i="2"/>
  <c r="M13" i="2"/>
  <c r="M11" i="2"/>
  <c r="M10" i="2"/>
  <c r="M27" i="2"/>
  <c r="I20" i="3"/>
  <c r="G20" i="3"/>
  <c r="I12" i="3"/>
  <c r="I11" i="3"/>
  <c r="H10" i="3"/>
  <c r="L26" i="2"/>
  <c r="K26" i="2"/>
  <c r="I9" i="2"/>
  <c r="J26" i="2"/>
  <c r="I26" i="2"/>
  <c r="H26" i="2"/>
  <c r="G26" i="2"/>
  <c r="D9" i="2"/>
  <c r="C9" i="2"/>
  <c r="B9" i="2"/>
  <c r="E9" i="2"/>
  <c r="F26" i="2"/>
  <c r="E26" i="2"/>
  <c r="D26" i="2"/>
  <c r="C26" i="2"/>
  <c r="Z9" i="2"/>
  <c r="AA9" i="2"/>
  <c r="AB9" i="2"/>
  <c r="AC9" i="2"/>
  <c r="AD9" i="2"/>
  <c r="AE9" i="2"/>
  <c r="AF9" i="2"/>
  <c r="AG9" i="2"/>
  <c r="AH9" i="2"/>
  <c r="W15" i="2"/>
  <c r="X13" i="2"/>
  <c r="Y13" i="2"/>
  <c r="Z13" i="2"/>
  <c r="AA13" i="2"/>
  <c r="AB13" i="2"/>
  <c r="AC13" i="2"/>
  <c r="AD13" i="2"/>
  <c r="AE13" i="2"/>
  <c r="AF13" i="2"/>
  <c r="AG13" i="2"/>
  <c r="AH13" i="2"/>
  <c r="V36" i="2"/>
  <c r="W18" i="2" s="1"/>
  <c r="W19" i="2" s="1"/>
  <c r="W20" i="2" s="1"/>
  <c r="W32" i="2" s="1"/>
  <c r="T90" i="2"/>
  <c r="V90" i="2"/>
  <c r="F90" i="2"/>
  <c r="J90" i="2"/>
  <c r="G90" i="2"/>
  <c r="H89" i="2"/>
  <c r="H90" i="2"/>
  <c r="K90" i="2"/>
  <c r="L90" i="2"/>
  <c r="L49" i="2"/>
  <c r="L47" i="2"/>
  <c r="L54" i="2"/>
  <c r="L36" i="2"/>
  <c r="L42" i="2"/>
  <c r="L45" i="2"/>
  <c r="L56" i="2"/>
  <c r="K30" i="2"/>
  <c r="J30" i="2"/>
  <c r="H30" i="2"/>
  <c r="G30" i="2"/>
  <c r="F30" i="2"/>
  <c r="K11" i="2"/>
  <c r="K16" i="2"/>
  <c r="K17" i="2"/>
  <c r="K18" i="2"/>
  <c r="K19" i="2"/>
  <c r="K29" i="2"/>
  <c r="J11" i="2"/>
  <c r="J16" i="2"/>
  <c r="J17" i="2"/>
  <c r="J18" i="2"/>
  <c r="J19" i="2"/>
  <c r="J29" i="2"/>
  <c r="H11" i="2"/>
  <c r="H16" i="2"/>
  <c r="H17" i="2"/>
  <c r="H18" i="2"/>
  <c r="H19" i="2"/>
  <c r="H29" i="2"/>
  <c r="G11" i="2"/>
  <c r="G16" i="2"/>
  <c r="G17" i="2"/>
  <c r="G18" i="2"/>
  <c r="G19" i="2"/>
  <c r="G29" i="2"/>
  <c r="F11" i="2"/>
  <c r="F16" i="2"/>
  <c r="F17" i="2"/>
  <c r="F18" i="2"/>
  <c r="F19" i="2"/>
  <c r="F29" i="2"/>
  <c r="K21" i="2"/>
  <c r="K28" i="2"/>
  <c r="J21" i="2"/>
  <c r="J28" i="2"/>
  <c r="H21" i="2"/>
  <c r="H28" i="2"/>
  <c r="G21" i="2"/>
  <c r="G28" i="2"/>
  <c r="F21" i="2"/>
  <c r="F28" i="2"/>
  <c r="K25" i="2"/>
  <c r="J25" i="2"/>
  <c r="L30" i="2"/>
  <c r="L11" i="2"/>
  <c r="L16" i="2"/>
  <c r="L17" i="2"/>
  <c r="L18" i="2"/>
  <c r="L19" i="2"/>
  <c r="L29" i="2"/>
  <c r="L21" i="2"/>
  <c r="L28" i="2"/>
  <c r="L25" i="2"/>
  <c r="B16" i="2"/>
  <c r="F31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F25" i="2"/>
  <c r="V20" i="2"/>
  <c r="U23" i="2"/>
  <c r="U20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E15" i="2"/>
  <c r="E14" i="2"/>
  <c r="B11" i="2"/>
  <c r="B17" i="2"/>
  <c r="B18" i="2"/>
  <c r="B19" i="2"/>
  <c r="C11" i="2"/>
  <c r="C16" i="2"/>
  <c r="C17" i="2"/>
  <c r="C18" i="2"/>
  <c r="C19" i="2"/>
  <c r="D11" i="2"/>
  <c r="D16" i="2"/>
  <c r="D17" i="2"/>
  <c r="D18" i="2"/>
  <c r="D19" i="2"/>
  <c r="E10" i="2"/>
  <c r="E11" i="2"/>
  <c r="E12" i="2"/>
  <c r="E13" i="2"/>
  <c r="E16" i="2"/>
  <c r="E17" i="2"/>
  <c r="E18" i="2"/>
  <c r="E19" i="2"/>
  <c r="U14" i="2"/>
  <c r="F27" i="2"/>
  <c r="U10" i="2"/>
  <c r="B21" i="2"/>
  <c r="C21" i="2"/>
  <c r="D21" i="2"/>
  <c r="I15" i="2"/>
  <c r="I14" i="2"/>
  <c r="I10" i="2"/>
  <c r="I11" i="2"/>
  <c r="I12" i="2"/>
  <c r="I13" i="2"/>
  <c r="I16" i="2"/>
  <c r="I17" i="2"/>
  <c r="I18" i="2"/>
  <c r="I19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V10" i="2"/>
  <c r="I21" i="2"/>
  <c r="J31" i="2"/>
  <c r="H31" i="2"/>
  <c r="L31" i="2"/>
  <c r="L6" i="1"/>
  <c r="G31" i="2"/>
  <c r="K31" i="2"/>
  <c r="L4" i="1"/>
  <c r="L7" i="1"/>
  <c r="W10" i="2"/>
  <c r="X10" i="2"/>
  <c r="Y10" i="2"/>
  <c r="Z10" i="2"/>
  <c r="AA10" i="2"/>
  <c r="AB10" i="2"/>
  <c r="AC10" i="2"/>
  <c r="AD10" i="2"/>
  <c r="AE10" i="2"/>
  <c r="AF10" i="2"/>
  <c r="AG10" i="2"/>
  <c r="AH10" i="2"/>
  <c r="L57" i="2"/>
  <c r="K27" i="2"/>
  <c r="G27" i="2"/>
  <c r="L27" i="2"/>
  <c r="H27" i="2"/>
  <c r="J27" i="2"/>
  <c r="F32" i="2"/>
  <c r="I27" i="2"/>
  <c r="V9" i="2"/>
  <c r="I28" i="2"/>
  <c r="V12" i="2"/>
  <c r="W12" i="2"/>
  <c r="I29" i="2"/>
  <c r="V13" i="2"/>
  <c r="I30" i="2"/>
  <c r="V15" i="2"/>
  <c r="D27" i="2"/>
  <c r="D30" i="2"/>
  <c r="D29" i="2"/>
  <c r="D28" i="2"/>
  <c r="H25" i="2"/>
  <c r="C27" i="2"/>
  <c r="C30" i="2"/>
  <c r="C29" i="2"/>
  <c r="C28" i="2"/>
  <c r="G25" i="2"/>
  <c r="B27" i="2"/>
  <c r="B30" i="2"/>
  <c r="B29" i="2"/>
  <c r="B28" i="2"/>
  <c r="U9" i="2"/>
  <c r="U11" i="2"/>
  <c r="U18" i="2"/>
  <c r="E21" i="2"/>
  <c r="E28" i="2"/>
  <c r="U12" i="2"/>
  <c r="E29" i="2"/>
  <c r="U13" i="2"/>
  <c r="U29" i="2"/>
  <c r="E30" i="2"/>
  <c r="U15" i="2"/>
  <c r="U30" i="2"/>
  <c r="V18" i="2"/>
  <c r="X12" i="2"/>
  <c r="Y12" i="2"/>
  <c r="Z12" i="2"/>
  <c r="AA12" i="2"/>
  <c r="AB12" i="2"/>
  <c r="AC12" i="2"/>
  <c r="AD12" i="2"/>
  <c r="AE12" i="2"/>
  <c r="AF12" i="2"/>
  <c r="AG12" i="2"/>
  <c r="AH12" i="2"/>
  <c r="W16" i="2"/>
  <c r="I32" i="2"/>
  <c r="I31" i="2"/>
  <c r="U28" i="2"/>
  <c r="U16" i="2"/>
  <c r="U27" i="2"/>
  <c r="U17" i="2"/>
  <c r="U19" i="2"/>
  <c r="B22" i="2"/>
  <c r="B32" i="2"/>
  <c r="C32" i="2"/>
  <c r="I25" i="2"/>
  <c r="D32" i="2"/>
  <c r="V30" i="2"/>
  <c r="V29" i="2"/>
  <c r="V28" i="2"/>
  <c r="V16" i="2"/>
  <c r="V25" i="2"/>
  <c r="V11" i="2"/>
  <c r="W25" i="2"/>
  <c r="X15" i="2"/>
  <c r="W11" i="2"/>
  <c r="F33" i="2"/>
  <c r="F22" i="2"/>
  <c r="J32" i="2"/>
  <c r="H32" i="2"/>
  <c r="L32" i="2"/>
  <c r="G32" i="2"/>
  <c r="K32" i="2"/>
  <c r="L60" i="2"/>
  <c r="L59" i="2"/>
  <c r="K33" i="2"/>
  <c r="K22" i="2"/>
  <c r="G33" i="2"/>
  <c r="G22" i="2"/>
  <c r="L33" i="2"/>
  <c r="L22" i="2"/>
  <c r="H33" i="2"/>
  <c r="H22" i="2"/>
  <c r="J33" i="2"/>
  <c r="J22" i="2"/>
  <c r="W27" i="2"/>
  <c r="X25" i="2"/>
  <c r="X11" i="2"/>
  <c r="Y15" i="2"/>
  <c r="V27" i="2"/>
  <c r="V17" i="2"/>
  <c r="V19" i="2"/>
  <c r="V31" i="2"/>
  <c r="W28" i="2"/>
  <c r="W29" i="2"/>
  <c r="W30" i="2"/>
  <c r="D33" i="2"/>
  <c r="D22" i="2"/>
  <c r="E27" i="2"/>
  <c r="C33" i="2"/>
  <c r="C22" i="2"/>
  <c r="U21" i="2"/>
  <c r="U22" i="2"/>
  <c r="U32" i="2"/>
  <c r="I33" i="2"/>
  <c r="I22" i="2"/>
  <c r="E32" i="2"/>
  <c r="X30" i="2"/>
  <c r="X29" i="2"/>
  <c r="X28" i="2"/>
  <c r="W31" i="2"/>
  <c r="X16" i="2"/>
  <c r="W17" i="2"/>
  <c r="V21" i="2"/>
  <c r="V32" i="2"/>
  <c r="Z15" i="2"/>
  <c r="Y25" i="2"/>
  <c r="Y11" i="2"/>
  <c r="X27" i="2"/>
  <c r="X17" i="2"/>
  <c r="Y27" i="2"/>
  <c r="AA15" i="2"/>
  <c r="Z25" i="2"/>
  <c r="Z11" i="2"/>
  <c r="V22" i="2"/>
  <c r="V34" i="2"/>
  <c r="Y16" i="2"/>
  <c r="X31" i="2"/>
  <c r="Y28" i="2"/>
  <c r="Y29" i="2"/>
  <c r="Y30" i="2"/>
  <c r="E33" i="2"/>
  <c r="E22" i="2"/>
  <c r="Z30" i="2"/>
  <c r="Z29" i="2"/>
  <c r="Z28" i="2"/>
  <c r="Z16" i="2"/>
  <c r="Y31" i="2"/>
  <c r="Y17" i="2"/>
  <c r="Z27" i="2"/>
  <c r="Z17" i="2"/>
  <c r="AB15" i="2"/>
  <c r="AA25" i="2"/>
  <c r="AA11" i="2"/>
  <c r="AA27" i="2"/>
  <c r="AC15" i="2"/>
  <c r="AB25" i="2"/>
  <c r="AB11" i="2"/>
  <c r="AA16" i="2"/>
  <c r="Z31" i="2"/>
  <c r="AA28" i="2"/>
  <c r="AA29" i="2"/>
  <c r="AA30" i="2"/>
  <c r="X22" i="2"/>
  <c r="AB30" i="2"/>
  <c r="AB29" i="2"/>
  <c r="AB28" i="2"/>
  <c r="AB16" i="2"/>
  <c r="AA31" i="2"/>
  <c r="AA17" i="2"/>
  <c r="AB27" i="2"/>
  <c r="AB17" i="2"/>
  <c r="AD15" i="2"/>
  <c r="AC25" i="2"/>
  <c r="AC11" i="2"/>
  <c r="AC27" i="2"/>
  <c r="AE15" i="2"/>
  <c r="AD25" i="2"/>
  <c r="AD11" i="2"/>
  <c r="AC16" i="2"/>
  <c r="AB31" i="2"/>
  <c r="AC28" i="2"/>
  <c r="AC29" i="2"/>
  <c r="AC30" i="2"/>
  <c r="AD30" i="2"/>
  <c r="AD29" i="2"/>
  <c r="AD28" i="2"/>
  <c r="AD16" i="2"/>
  <c r="AC31" i="2"/>
  <c r="AC17" i="2"/>
  <c r="AD27" i="2"/>
  <c r="AD17" i="2"/>
  <c r="AF15" i="2"/>
  <c r="AE25" i="2"/>
  <c r="AE11" i="2"/>
  <c r="Y22" i="2"/>
  <c r="Y34" i="2"/>
  <c r="AE27" i="2"/>
  <c r="AG15" i="2"/>
  <c r="AF25" i="2"/>
  <c r="AF11" i="2"/>
  <c r="AE16" i="2"/>
  <c r="AD31" i="2"/>
  <c r="AE28" i="2"/>
  <c r="AE29" i="2"/>
  <c r="AE30" i="2"/>
  <c r="AF30" i="2"/>
  <c r="AF29" i="2"/>
  <c r="AF28" i="2"/>
  <c r="AF16" i="2"/>
  <c r="AE31" i="2"/>
  <c r="AE17" i="2"/>
  <c r="AF27" i="2"/>
  <c r="AF17" i="2"/>
  <c r="AH15" i="2"/>
  <c r="AG25" i="2"/>
  <c r="AG11" i="2"/>
  <c r="AG27" i="2"/>
  <c r="AH25" i="2"/>
  <c r="AH11" i="2"/>
  <c r="AG16" i="2"/>
  <c r="AF31" i="2"/>
  <c r="AH28" i="2"/>
  <c r="AG28" i="2"/>
  <c r="AH29" i="2"/>
  <c r="AG29" i="2"/>
  <c r="AH30" i="2"/>
  <c r="AG30" i="2"/>
  <c r="AH16" i="2"/>
  <c r="AH31" i="2"/>
  <c r="AG31" i="2"/>
  <c r="AG17" i="2"/>
  <c r="AH27" i="2"/>
  <c r="AH17" i="2"/>
  <c r="W21" i="2" l="1"/>
  <c r="M20" i="2"/>
  <c r="M21" i="2"/>
  <c r="M22" i="2" s="1"/>
  <c r="W36" i="2" l="1"/>
  <c r="W34" i="2"/>
  <c r="X34" i="2"/>
  <c r="W22" i="2"/>
  <c r="X18" i="2" l="1"/>
  <c r="X19" i="2" s="1"/>
  <c r="X20" i="2" s="1"/>
  <c r="X32" i="2" s="1"/>
  <c r="X36" i="2"/>
  <c r="Y18" i="2" l="1"/>
  <c r="Y19" i="2" s="1"/>
  <c r="Y20" i="2" s="1"/>
  <c r="Y32" i="2" s="1"/>
  <c r="Y36" i="2"/>
  <c r="Z18" i="2" l="1"/>
  <c r="Z19" i="2" s="1"/>
  <c r="Z20" i="2" l="1"/>
  <c r="Z32" i="2" s="1"/>
  <c r="Z21" i="2"/>
  <c r="Z22" i="2" l="1"/>
  <c r="Z34" i="2"/>
  <c r="Z36" i="2"/>
  <c r="AA18" i="2" l="1"/>
  <c r="AA19" i="2" s="1"/>
  <c r="AA20" i="2" l="1"/>
  <c r="AA32" i="2" s="1"/>
  <c r="AA21" i="2" l="1"/>
  <c r="AA22" i="2" l="1"/>
  <c r="AA34" i="2"/>
  <c r="AA36" i="2"/>
  <c r="AB18" i="2" l="1"/>
  <c r="AB19" i="2" s="1"/>
  <c r="AB20" i="2" l="1"/>
  <c r="AB32" i="2" s="1"/>
  <c r="AB21" i="2" l="1"/>
  <c r="AB22" i="2" l="1"/>
  <c r="AB34" i="2"/>
  <c r="AB36" i="2"/>
  <c r="AC18" i="2" l="1"/>
  <c r="AC19" i="2" s="1"/>
  <c r="AC20" i="2" l="1"/>
  <c r="AC32" i="2" s="1"/>
  <c r="AC21" i="2" l="1"/>
  <c r="AC34" i="2" l="1"/>
  <c r="AC22" i="2"/>
  <c r="AC36" i="2"/>
  <c r="AD18" i="2" l="1"/>
  <c r="AD19" i="2" s="1"/>
  <c r="AD20" i="2" l="1"/>
  <c r="AD32" i="2" s="1"/>
  <c r="AD21" i="2" l="1"/>
  <c r="AD22" i="2" l="1"/>
  <c r="AD34" i="2"/>
  <c r="AD36" i="2"/>
  <c r="AE18" i="2" l="1"/>
  <c r="AE19" i="2" s="1"/>
  <c r="AE20" i="2" l="1"/>
  <c r="AE32" i="2" s="1"/>
  <c r="AE21" i="2" l="1"/>
  <c r="AE22" i="2" l="1"/>
  <c r="AE34" i="2"/>
  <c r="AE36" i="2"/>
  <c r="AF18" i="2" l="1"/>
  <c r="AF19" i="2" s="1"/>
  <c r="AF20" i="2" l="1"/>
  <c r="AF32" i="2" s="1"/>
  <c r="AF21" i="2" l="1"/>
  <c r="AF22" i="2" l="1"/>
  <c r="AF34" i="2"/>
  <c r="AF36" i="2"/>
  <c r="AG18" i="2" l="1"/>
  <c r="AG19" i="2" s="1"/>
  <c r="AG20" i="2" l="1"/>
  <c r="AG32" i="2" s="1"/>
  <c r="AG21" i="2" l="1"/>
  <c r="AG22" i="2" l="1"/>
  <c r="AG34" i="2"/>
  <c r="AG36" i="2"/>
  <c r="AH18" i="2" l="1"/>
  <c r="AH19" i="2" s="1"/>
  <c r="AH20" i="2" l="1"/>
  <c r="AH32" i="2" s="1"/>
  <c r="AH21" i="2" l="1"/>
  <c r="AH34" i="2" l="1"/>
  <c r="AH22" i="2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P28" i="2" s="1"/>
  <c r="P29" i="2" s="1"/>
  <c r="P30" i="2" s="1"/>
  <c r="AH36" i="2"/>
</calcChain>
</file>

<file path=xl/sharedStrings.xml><?xml version="1.0" encoding="utf-8"?>
<sst xmlns="http://schemas.openxmlformats.org/spreadsheetml/2006/main" count="143" uniqueCount="101">
  <si>
    <t>ADMA</t>
  </si>
  <si>
    <t>Price</t>
  </si>
  <si>
    <t>Shares</t>
  </si>
  <si>
    <t>MC</t>
  </si>
  <si>
    <t>Cash</t>
  </si>
  <si>
    <t>Debt</t>
  </si>
  <si>
    <t>EV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</si>
  <si>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</si>
  <si>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</si>
  <si>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</si>
  <si>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</si>
  <si>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</si>
  <si>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</si>
  <si>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</si>
  <si>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</si>
  <si>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</si>
  <si>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</si>
  <si>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</si>
  <si>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</si>
  <si>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</si>
  <si>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</si>
  <si>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BIVIGAM</t>
  </si>
  <si>
    <t>ASCENIV</t>
  </si>
  <si>
    <t>Nabi-HB</t>
  </si>
  <si>
    <t>Revenues</t>
  </si>
  <si>
    <t xml:space="preserve"> </t>
  </si>
  <si>
    <t>Cost</t>
  </si>
  <si>
    <t>Gross Income</t>
  </si>
  <si>
    <t>RD</t>
  </si>
  <si>
    <t>Plasma Exp</t>
  </si>
  <si>
    <t>Amortization</t>
  </si>
  <si>
    <t>SGA</t>
  </si>
  <si>
    <t>OPEX</t>
  </si>
  <si>
    <t>Operating Income</t>
  </si>
  <si>
    <t>Interest Income</t>
  </si>
  <si>
    <t>Pretax</t>
  </si>
  <si>
    <t>Taxes</t>
  </si>
  <si>
    <t xml:space="preserve">NI </t>
  </si>
  <si>
    <t>EPS</t>
  </si>
  <si>
    <t>Rev y/y</t>
  </si>
  <si>
    <t>Rev q/q</t>
  </si>
  <si>
    <t>Gross %</t>
  </si>
  <si>
    <t>DR</t>
  </si>
  <si>
    <t>RD %</t>
  </si>
  <si>
    <t>NPV</t>
  </si>
  <si>
    <t>Plasma Exp %</t>
  </si>
  <si>
    <t>Per Share</t>
  </si>
  <si>
    <t>SGA %</t>
  </si>
  <si>
    <t>OPEX y/y</t>
  </si>
  <si>
    <t>Taxe rate</t>
  </si>
  <si>
    <t>NI q/q</t>
  </si>
  <si>
    <t>NI y/y</t>
  </si>
  <si>
    <t>NC</t>
  </si>
  <si>
    <t>AR</t>
  </si>
  <si>
    <t>Inventories</t>
  </si>
  <si>
    <t>Prepaid Expenses</t>
  </si>
  <si>
    <t>PPE</t>
  </si>
  <si>
    <t>Intagibles</t>
  </si>
  <si>
    <t>Right to use</t>
  </si>
  <si>
    <t>Deposits</t>
  </si>
  <si>
    <t>Assets</t>
  </si>
  <si>
    <t>AP</t>
  </si>
  <si>
    <t>Defered Expenses</t>
  </si>
  <si>
    <t>Leases</t>
  </si>
  <si>
    <t>Senior Notes</t>
  </si>
  <si>
    <t>Term fee</t>
  </si>
  <si>
    <t>ONL</t>
  </si>
  <si>
    <t>Liabilities</t>
  </si>
  <si>
    <t>S/E</t>
  </si>
  <si>
    <t>L+S/E</t>
  </si>
  <si>
    <t>ROA</t>
  </si>
  <si>
    <t>ROE</t>
  </si>
  <si>
    <t>NI calc</t>
  </si>
  <si>
    <t>NI reported</t>
  </si>
  <si>
    <t>DA</t>
  </si>
  <si>
    <t>Loss</t>
  </si>
  <si>
    <t>Interest Paid</t>
  </si>
  <si>
    <t>SBC</t>
  </si>
  <si>
    <t>Amortizations</t>
  </si>
  <si>
    <t>AE</t>
  </si>
  <si>
    <t>ONCL</t>
  </si>
  <si>
    <t>CFFO</t>
  </si>
  <si>
    <t>Purchases of PPE</t>
  </si>
  <si>
    <t>Acquisitions</t>
  </si>
  <si>
    <t>CFFI</t>
  </si>
  <si>
    <t>Repayments</t>
  </si>
  <si>
    <t>Pay of Notes</t>
  </si>
  <si>
    <t>Proceeds os SO</t>
  </si>
  <si>
    <t>CFFF</t>
  </si>
  <si>
    <t>CapeX</t>
  </si>
  <si>
    <t>FCF</t>
  </si>
  <si>
    <t>SMMT</t>
  </si>
  <si>
    <t>ITCI</t>
  </si>
  <si>
    <t>VTRS</t>
  </si>
  <si>
    <t>GMAB</t>
  </si>
  <si>
    <t>??</t>
  </si>
  <si>
    <t>KMDA</t>
  </si>
  <si>
    <t>TAK</t>
  </si>
  <si>
    <t>GRFS</t>
  </si>
  <si>
    <t>Guidance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</si>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</sst>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7" fontId="0" fillId="0" borderId="0" xfId="0" applyNumberFormat="1"/>
    <xf numFmtId="9" fontId="0" fillId="0" borderId="0" xfId="0" applyNumberFormat="1"/>
    <xf numFmtId="8" fontId="0" fillId="0" borderId="0" xfId="0" applyNumberFormat="1"/>
    <xf numFmtId="2" fontId="0" fillId="0" borderId="0" xfId="0" applyNumberFormat="1"/>
    <xf numFmtId="1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7"/>
  <sheetViews>
    <sheetView workbookViewId="0">
      <selection activeCell="L2" sqref="L2"/>
    </sheetView>
  </sheetViews>
  <sheetFormatPr defaultRowHeight="15" x14ac:dyDescent="0.25"/>
  <cols>
    <col min="12" max="12" width="9.28515625" bestFit="1" customWidth="1"/>
  </cols>
  <sheetData>
    <row r="2" spans="2:12" x14ac:dyDescent="0.25">
      <c r="B2" t="s">
        <v>0</v>
      </c>
      <c r="K2" t="s">
        <v>1</v>
      </c>
      <c r="L2" s="1">
        <v>15.9</v>
      </c>
    </row>
    <row r="3" spans="2:12" x14ac:dyDescent="0.25">
      <c r="K3" t="s">
        <v>2</v>
      </c>
      <c r="L3" s="1">
        <v>236.390253</v>
      </c>
    </row>
    <row r="4" spans="2:12" x14ac:dyDescent="0.25">
      <c r="K4" t="s">
        <v>3</v>
      </c>
      <c r="L4" s="1">
        <f>+L3*L2</f>
        <v>3758.6050227000001</v>
      </c>
    </row>
    <row r="5" spans="2:12" x14ac:dyDescent="0.25">
      <c r="K5" t="s">
        <v>4</v>
      </c>
      <c r="L5" s="1">
        <v>86.7</v>
      </c>
    </row>
    <row r="6" spans="2:12" x14ac:dyDescent="0.25">
      <c r="K6" t="s">
        <v>5</v>
      </c>
      <c r="L6" s="1">
        <f>1.193+1688+8.865</f>
        <v>1698.058</v>
      </c>
    </row>
    <row r="7" spans="2:12" x14ac:dyDescent="0.25">
      <c r="K7" t="s">
        <v>6</v>
      </c>
      <c r="L7" s="1">
        <f>+L4-L5+L6</f>
        <v>5369.9630226999998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BCF2-9A5D-49E6-9CA3-FDE73E8A9466}">
  <dimension ref="A1:XFD90"/>
  <sheetViews>
    <sheetView tabSelected="1" workbookViewId="0">
      <pane xSplit="1" ySplit="2" topLeftCell="B59" activePane="bottomRight" state="frozen"/>
      <selection pane="topRight"/>
      <selection pane="bottomLeft"/>
      <selection pane="bottomRight" activeCell="U90" sqref="U90"/>
    </sheetView>
  </sheetViews>
  <sheetFormatPr defaultRowHeight="15" x14ac:dyDescent="0.25"/>
  <cols>
    <col min="1" max="1" width="16.5703125" bestFit="1" customWidth="1"/>
    <col min="5" max="5" width="9.28515625" bestFit="1" customWidth="1"/>
    <col min="8" max="8" width="9.28515625" bestFit="1" customWidth="1"/>
    <col min="12" max="12" width="9.28515625" bestFit="1" customWidth="1"/>
    <col min="16" max="16" width="17" bestFit="1" customWidth="1"/>
  </cols>
  <sheetData>
    <row r="1" spans="1:34" x14ac:dyDescent="0.25">
      <c r="B1" s="2">
        <v>38838</v>
      </c>
      <c r="C1" s="2">
        <v>38565</v>
      </c>
      <c r="D1" s="2">
        <v>38292</v>
      </c>
      <c r="I1" s="2">
        <v>44958</v>
      </c>
      <c r="J1" s="2">
        <v>37742</v>
      </c>
      <c r="K1" s="2">
        <v>39661</v>
      </c>
      <c r="L1" s="2">
        <v>39387</v>
      </c>
    </row>
    <row r="2" spans="1:34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T2">
        <v>2021</v>
      </c>
      <c r="U2">
        <v>2022</v>
      </c>
      <c r="V2">
        <f>+U2+1</f>
        <v>2023</v>
      </c>
      <c r="W2">
        <f t="shared" ref="W2:AH2" si="0">+V2+1</f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  <c r="AB2">
        <f t="shared" si="0"/>
        <v>2029</v>
      </c>
      <c r="AC2">
        <f t="shared" si="0"/>
        <v>2030</v>
      </c>
      <c r="AD2">
        <f t="shared" si="0"/>
        <v>2031</v>
      </c>
      <c r="AE2">
        <f t="shared" si="0"/>
        <v>2032</v>
      </c>
      <c r="AF2">
        <f t="shared" si="0"/>
        <v>2033</v>
      </c>
      <c r="AG2">
        <f t="shared" si="0"/>
        <v>2034</v>
      </c>
      <c r="AH2">
        <f t="shared" si="0"/>
        <v>2035</v>
      </c>
    </row>
    <row r="3" spans="1:34" x14ac:dyDescent="0.25">
      <c r="A3" t="s">
        <v>21</v>
      </c>
    </row>
    <row r="4" spans="1:34" x14ac:dyDescent="0.25">
      <c r="A4" t="s">
        <v>22</v>
      </c>
    </row>
    <row r="5" spans="1:34" x14ac:dyDescent="0.25">
      <c r="A5" t="s">
        <v>23</v>
      </c>
    </row>
    <row r="8" spans="1:34" x14ac:dyDescent="0.25">
      <c r="M8" t="s">
        <v>99</v>
      </c>
    </row>
    <row r="9" spans="1:34" x14ac:dyDescent="0.25">
      <c r="A9" t="s">
        <v>24</v>
      </c>
      <c r="B9" s="1">
        <f>29.067+0.035708</f>
        <v>29.102708</v>
      </c>
      <c r="C9" s="1">
        <f>33.869+0.0357099</f>
        <v>33.9047099</v>
      </c>
      <c r="D9" s="1">
        <f>41.054+0.035708</f>
        <v>41.089708000000002</v>
      </c>
      <c r="E9" s="1">
        <f>153.936+0.142-D9-C9-B9</f>
        <v>49.980874100000001</v>
      </c>
      <c r="F9" s="1">
        <v>56.914000000000001</v>
      </c>
      <c r="G9" s="1">
        <v>60.122999999999998</v>
      </c>
      <c r="H9" s="1">
        <v>67.275000000000006</v>
      </c>
      <c r="I9" s="1">
        <f>258.215-H9-G9-F9</f>
        <v>73.902999999999977</v>
      </c>
      <c r="J9" s="1">
        <v>81.875</v>
      </c>
      <c r="K9" s="1">
        <v>107.191</v>
      </c>
      <c r="L9" s="1">
        <v>119.839</v>
      </c>
      <c r="M9">
        <v>112.5</v>
      </c>
      <c r="T9" t="s">
        <v>25</v>
      </c>
      <c r="U9" s="1">
        <f>+SUM(B9:E9)</f>
        <v>154.078</v>
      </c>
      <c r="V9" s="1">
        <f>+SUM(F9:I9)</f>
        <v>258.21499999999997</v>
      </c>
      <c r="W9" s="1">
        <v>417</v>
      </c>
      <c r="X9" s="1">
        <v>485</v>
      </c>
      <c r="Y9" s="1">
        <v>600</v>
      </c>
      <c r="Z9" s="1">
        <f>+Y9*1.2</f>
        <v>720</v>
      </c>
      <c r="AA9" s="1">
        <f t="shared" ref="AA9:AC9" si="1">+Z9*1.2</f>
        <v>864</v>
      </c>
      <c r="AB9" s="1">
        <f t="shared" si="1"/>
        <v>1036.8</v>
      </c>
      <c r="AC9" s="1">
        <f t="shared" si="1"/>
        <v>1244.1599999999999</v>
      </c>
      <c r="AD9" s="1">
        <f>+AC9</f>
        <v>1244.1599999999999</v>
      </c>
      <c r="AE9" s="1">
        <f t="shared" ref="AE9:AH9" si="2">+AD9</f>
        <v>1244.1599999999999</v>
      </c>
      <c r="AF9" s="1">
        <f t="shared" si="2"/>
        <v>1244.1599999999999</v>
      </c>
      <c r="AG9" s="1">
        <f t="shared" si="2"/>
        <v>1244.1599999999999</v>
      </c>
      <c r="AH9" s="1">
        <f t="shared" si="2"/>
        <v>1244.1599999999999</v>
      </c>
    </row>
    <row r="10" spans="1:34" x14ac:dyDescent="0.25">
      <c r="A10" t="s">
        <v>26</v>
      </c>
      <c r="B10" s="1">
        <v>25.440999999999999</v>
      </c>
      <c r="C10" s="1">
        <v>26.135000000000002</v>
      </c>
      <c r="D10" s="1">
        <v>31.433</v>
      </c>
      <c r="E10" s="1">
        <f>118.814-D10-C10-B10</f>
        <v>35.804999999999993</v>
      </c>
      <c r="F10" s="1">
        <v>40.401000000000003</v>
      </c>
      <c r="G10" s="1">
        <v>43.433</v>
      </c>
      <c r="H10" s="1">
        <v>42.622</v>
      </c>
      <c r="I10" s="1">
        <f>169.273-H10-G10-F10</f>
        <v>42.816999999999986</v>
      </c>
      <c r="J10" s="1">
        <v>42.767000000000003</v>
      </c>
      <c r="K10" s="1">
        <v>49.738</v>
      </c>
      <c r="L10" s="1">
        <v>60.18</v>
      </c>
      <c r="M10">
        <f>+M9*M27</f>
        <v>56.005453149642435</v>
      </c>
      <c r="U10" s="1">
        <f>+SUM(B10:E10)</f>
        <v>118.81399999999999</v>
      </c>
      <c r="V10" s="1">
        <f>+SUM(F10:I10)</f>
        <v>169.273</v>
      </c>
      <c r="W10" s="1">
        <f>+V10*1.2</f>
        <v>203.1276</v>
      </c>
      <c r="X10" s="1">
        <f>+W10*1.05</f>
        <v>213.28398000000001</v>
      </c>
      <c r="Y10" s="1">
        <f t="shared" ref="Y10:AH10" si="3">+X10*1.05</f>
        <v>223.94817900000001</v>
      </c>
      <c r="Z10" s="1">
        <f t="shared" si="3"/>
        <v>235.14558795000002</v>
      </c>
      <c r="AA10" s="1">
        <f t="shared" si="3"/>
        <v>246.90286734750003</v>
      </c>
      <c r="AB10" s="1">
        <f t="shared" si="3"/>
        <v>259.24801071487502</v>
      </c>
      <c r="AC10" s="1">
        <f t="shared" si="3"/>
        <v>272.21041125061879</v>
      </c>
      <c r="AD10" s="1">
        <f t="shared" si="3"/>
        <v>285.82093181314974</v>
      </c>
      <c r="AE10" s="1">
        <f t="shared" si="3"/>
        <v>300.11197840380726</v>
      </c>
      <c r="AF10" s="1">
        <f t="shared" si="3"/>
        <v>315.11757732399764</v>
      </c>
      <c r="AG10" s="1">
        <f t="shared" si="3"/>
        <v>330.87345619019754</v>
      </c>
      <c r="AH10" s="1">
        <f t="shared" si="3"/>
        <v>347.41712899970742</v>
      </c>
    </row>
    <row r="11" spans="1:34" x14ac:dyDescent="0.25">
      <c r="A11" t="s">
        <v>27</v>
      </c>
      <c r="B11" s="1">
        <f t="shared" ref="B11:M11" si="4">+B9-B10</f>
        <v>3.6617080000000009</v>
      </c>
      <c r="C11" s="1">
        <f t="shared" si="4"/>
        <v>7.7697098999999987</v>
      </c>
      <c r="D11" s="1">
        <f t="shared" si="4"/>
        <v>9.6567080000000018</v>
      </c>
      <c r="E11" s="1">
        <f t="shared" si="4"/>
        <v>14.175874100000009</v>
      </c>
      <c r="F11" s="1">
        <f t="shared" si="4"/>
        <v>16.512999999999998</v>
      </c>
      <c r="G11" s="1">
        <f t="shared" si="4"/>
        <v>16.689999999999998</v>
      </c>
      <c r="H11" s="1">
        <f t="shared" si="4"/>
        <v>24.653000000000006</v>
      </c>
      <c r="I11" s="1">
        <f t="shared" si="4"/>
        <v>31.085999999999991</v>
      </c>
      <c r="J11" s="1">
        <f t="shared" si="4"/>
        <v>39.107999999999997</v>
      </c>
      <c r="K11" s="1">
        <f t="shared" si="4"/>
        <v>57.453000000000003</v>
      </c>
      <c r="L11" s="1">
        <f t="shared" si="4"/>
        <v>59.658999999999999</v>
      </c>
      <c r="M11" s="1">
        <f t="shared" si="4"/>
        <v>56.494546850357565</v>
      </c>
      <c r="U11" s="1">
        <f>+U9-U10</f>
        <v>35.26400000000001</v>
      </c>
      <c r="V11" s="1">
        <f>+V9-V10</f>
        <v>88.941999999999979</v>
      </c>
      <c r="W11" s="1">
        <f>+W9*0.5</f>
        <v>208.5</v>
      </c>
      <c r="X11" s="1">
        <f t="shared" ref="X11:AH11" si="5">+X9-X10</f>
        <v>271.71601999999996</v>
      </c>
      <c r="Y11" s="1">
        <f t="shared" si="5"/>
        <v>376.05182100000002</v>
      </c>
      <c r="Z11" s="1">
        <f t="shared" si="5"/>
        <v>484.85441204999995</v>
      </c>
      <c r="AA11" s="1">
        <f t="shared" si="5"/>
        <v>617.09713265250002</v>
      </c>
      <c r="AB11" s="1">
        <f t="shared" si="5"/>
        <v>777.55198928512493</v>
      </c>
      <c r="AC11" s="1">
        <f t="shared" si="5"/>
        <v>971.94958874938106</v>
      </c>
      <c r="AD11" s="1">
        <f t="shared" si="5"/>
        <v>958.33906818685011</v>
      </c>
      <c r="AE11" s="1">
        <f t="shared" si="5"/>
        <v>944.0480215961926</v>
      </c>
      <c r="AF11" s="1">
        <f t="shared" si="5"/>
        <v>929.04242267600216</v>
      </c>
      <c r="AG11" s="1">
        <f t="shared" si="5"/>
        <v>913.28654380980231</v>
      </c>
      <c r="AH11" s="1">
        <f t="shared" si="5"/>
        <v>896.74287100029244</v>
      </c>
    </row>
    <row r="12" spans="1:34" x14ac:dyDescent="0.25">
      <c r="A12" t="s">
        <v>28</v>
      </c>
      <c r="B12" s="1">
        <v>0.624</v>
      </c>
      <c r="C12" s="1">
        <v>0.873</v>
      </c>
      <c r="D12" s="1">
        <v>1.0409999999999999</v>
      </c>
      <c r="E12" s="1">
        <f>3.613-D12-C12-B12</f>
        <v>1.0750000000000002</v>
      </c>
      <c r="F12" s="1">
        <v>0.85499999999999998</v>
      </c>
      <c r="G12" s="1">
        <v>1.403</v>
      </c>
      <c r="H12" s="1">
        <v>0.59599999999999997</v>
      </c>
      <c r="I12" s="1">
        <f>3.3-H12-G12-F12</f>
        <v>0.44599999999999973</v>
      </c>
      <c r="J12" s="1">
        <v>0.45</v>
      </c>
      <c r="K12" s="1">
        <v>0.56000000000000005</v>
      </c>
      <c r="L12" s="1">
        <v>0.41199999999999998</v>
      </c>
      <c r="M12" s="1">
        <v>0</v>
      </c>
      <c r="U12" s="1">
        <f t="shared" ref="U12:U15" si="6">+SUM(B12:E12)</f>
        <v>3.613</v>
      </c>
      <c r="V12" s="1">
        <f t="shared" ref="V12:V15" si="7">+SUM(F12:I12)</f>
        <v>3.3</v>
      </c>
      <c r="W12" s="1">
        <f>+V12</f>
        <v>3.3</v>
      </c>
      <c r="X12" s="1">
        <f t="shared" ref="X12:AH12" si="8">+W12</f>
        <v>3.3</v>
      </c>
      <c r="Y12" s="1">
        <f t="shared" si="8"/>
        <v>3.3</v>
      </c>
      <c r="Z12" s="1">
        <f t="shared" si="8"/>
        <v>3.3</v>
      </c>
      <c r="AA12" s="1">
        <f t="shared" si="8"/>
        <v>3.3</v>
      </c>
      <c r="AB12" s="1">
        <f t="shared" si="8"/>
        <v>3.3</v>
      </c>
      <c r="AC12" s="1">
        <f t="shared" si="8"/>
        <v>3.3</v>
      </c>
      <c r="AD12" s="1">
        <f t="shared" si="8"/>
        <v>3.3</v>
      </c>
      <c r="AE12" s="1">
        <f t="shared" si="8"/>
        <v>3.3</v>
      </c>
      <c r="AF12" s="1">
        <f t="shared" si="8"/>
        <v>3.3</v>
      </c>
      <c r="AG12" s="1">
        <f t="shared" si="8"/>
        <v>3.3</v>
      </c>
      <c r="AH12" s="1">
        <f t="shared" si="8"/>
        <v>3.3</v>
      </c>
    </row>
    <row r="13" spans="1:34" x14ac:dyDescent="0.25">
      <c r="A13" t="s">
        <v>29</v>
      </c>
      <c r="B13" s="1">
        <v>3.9740000000000002</v>
      </c>
      <c r="C13" s="1">
        <v>3.9209999999999998</v>
      </c>
      <c r="D13" s="1">
        <v>4.859</v>
      </c>
      <c r="E13" s="1">
        <f>17.843-D13-C13-B13</f>
        <v>5.0890000000000004</v>
      </c>
      <c r="F13" s="1">
        <v>1.78</v>
      </c>
      <c r="G13" s="1">
        <v>1.333</v>
      </c>
      <c r="H13" s="1">
        <v>0.46700000000000003</v>
      </c>
      <c r="I13" s="1">
        <f>4.266-H13-G13-F13</f>
        <v>0.68600000000000017</v>
      </c>
      <c r="J13" s="1">
        <v>1.0049999999999999</v>
      </c>
      <c r="K13" s="1">
        <v>0.94199999999999995</v>
      </c>
      <c r="L13" s="1">
        <v>1.0209999999999999</v>
      </c>
      <c r="M13" s="1">
        <f>+L13</f>
        <v>1.0209999999999999</v>
      </c>
      <c r="U13" s="1">
        <f t="shared" si="6"/>
        <v>17.843</v>
      </c>
      <c r="V13" s="1">
        <f t="shared" si="7"/>
        <v>4.266</v>
      </c>
      <c r="W13" s="1">
        <v>5</v>
      </c>
      <c r="X13" s="1">
        <f>+W13*1.3</f>
        <v>6.5</v>
      </c>
      <c r="Y13" s="1">
        <f t="shared" ref="Y13:AH13" si="9">+X13*1.3</f>
        <v>8.4500000000000011</v>
      </c>
      <c r="Z13" s="1">
        <f t="shared" si="9"/>
        <v>10.985000000000001</v>
      </c>
      <c r="AA13" s="1">
        <f t="shared" si="9"/>
        <v>14.280500000000002</v>
      </c>
      <c r="AB13" s="1">
        <f t="shared" si="9"/>
        <v>18.564650000000004</v>
      </c>
      <c r="AC13" s="1">
        <f t="shared" si="9"/>
        <v>24.134045000000008</v>
      </c>
      <c r="AD13" s="1">
        <f t="shared" si="9"/>
        <v>31.37425850000001</v>
      </c>
      <c r="AE13" s="1">
        <f t="shared" si="9"/>
        <v>40.786536050000016</v>
      </c>
      <c r="AF13" s="1">
        <f t="shared" si="9"/>
        <v>53.022496865000022</v>
      </c>
      <c r="AG13" s="1">
        <f t="shared" si="9"/>
        <v>68.929245924500037</v>
      </c>
      <c r="AH13" s="1">
        <f t="shared" si="9"/>
        <v>89.608019701850054</v>
      </c>
    </row>
    <row r="14" spans="1:34" x14ac:dyDescent="0.25">
      <c r="A14" t="s">
        <v>30</v>
      </c>
      <c r="B14" s="1">
        <v>0.17799999999999999</v>
      </c>
      <c r="C14" s="1">
        <v>0.17799999999999999</v>
      </c>
      <c r="D14" s="1">
        <v>0.17799999999999999</v>
      </c>
      <c r="E14" s="1">
        <f>0.715353-D14-C14-B14</f>
        <v>0.18135299999999999</v>
      </c>
      <c r="F14" s="1">
        <v>0.17899999999999999</v>
      </c>
      <c r="G14" s="1">
        <v>0.17899999999999999</v>
      </c>
      <c r="H14" s="1">
        <v>0.17899999999999999</v>
      </c>
      <c r="I14" s="1">
        <f>0.724-H14-G14-F14</f>
        <v>0.18699999999999994</v>
      </c>
      <c r="J14" s="1">
        <v>0.193</v>
      </c>
      <c r="K14" s="1">
        <v>0.14199999999999999</v>
      </c>
      <c r="L14" s="1">
        <v>2.8000000000000001E-2</v>
      </c>
      <c r="M14" s="1">
        <f t="shared" ref="M14:M15" si="10">+L14</f>
        <v>2.8000000000000001E-2</v>
      </c>
      <c r="U14" s="1">
        <f t="shared" si="6"/>
        <v>0.71535300000000002</v>
      </c>
      <c r="V14" s="1">
        <f t="shared" si="7"/>
        <v>0.72399999999999987</v>
      </c>
      <c r="W14" s="1">
        <f t="shared" ref="W14" si="11">+V14</f>
        <v>0.72399999999999987</v>
      </c>
      <c r="X14" s="1">
        <f t="shared" ref="X14:AH14" si="12">+W14</f>
        <v>0.72399999999999987</v>
      </c>
      <c r="Y14" s="1">
        <f t="shared" si="12"/>
        <v>0.72399999999999987</v>
      </c>
      <c r="Z14" s="1">
        <f t="shared" si="12"/>
        <v>0.72399999999999987</v>
      </c>
      <c r="AA14" s="1">
        <f t="shared" si="12"/>
        <v>0.72399999999999987</v>
      </c>
      <c r="AB14" s="1">
        <f t="shared" si="12"/>
        <v>0.72399999999999987</v>
      </c>
      <c r="AC14" s="1">
        <f t="shared" si="12"/>
        <v>0.72399999999999987</v>
      </c>
      <c r="AD14" s="1">
        <f t="shared" si="12"/>
        <v>0.72399999999999987</v>
      </c>
      <c r="AE14" s="1">
        <f t="shared" si="12"/>
        <v>0.72399999999999987</v>
      </c>
      <c r="AF14" s="1">
        <f t="shared" si="12"/>
        <v>0.72399999999999987</v>
      </c>
      <c r="AG14" s="1">
        <f t="shared" si="12"/>
        <v>0.72399999999999987</v>
      </c>
      <c r="AH14" s="1">
        <f t="shared" si="12"/>
        <v>0.72399999999999987</v>
      </c>
    </row>
    <row r="15" spans="1:34" x14ac:dyDescent="0.25">
      <c r="A15" t="s">
        <v>31</v>
      </c>
      <c r="B15" s="1">
        <v>13.699</v>
      </c>
      <c r="C15" s="1">
        <v>11.97</v>
      </c>
      <c r="D15" s="1">
        <v>12.893000000000001</v>
      </c>
      <c r="E15" s="1">
        <f>52.458-D15-C15-B15</f>
        <v>13.895999999999999</v>
      </c>
      <c r="F15" s="1">
        <v>14.512</v>
      </c>
      <c r="G15" s="1">
        <v>14.247999999999999</v>
      </c>
      <c r="H15" s="1">
        <v>14.726000000000001</v>
      </c>
      <c r="I15" s="1">
        <f>59.02-H15-G15-F15</f>
        <v>15.534000000000006</v>
      </c>
      <c r="J15" s="1">
        <v>15.638999999999999</v>
      </c>
      <c r="K15" s="1">
        <v>16.608000000000001</v>
      </c>
      <c r="L15" s="1">
        <v>18.559999999999999</v>
      </c>
      <c r="M15" s="1">
        <f t="shared" si="10"/>
        <v>18.559999999999999</v>
      </c>
      <c r="U15" s="1">
        <f t="shared" si="6"/>
        <v>52.457999999999998</v>
      </c>
      <c r="V15" s="1">
        <f t="shared" si="7"/>
        <v>59.02</v>
      </c>
      <c r="W15" s="1">
        <f>+W9*0.15</f>
        <v>62.55</v>
      </c>
      <c r="X15" s="1">
        <f t="shared" ref="X15:AH15" si="13">+X9*0.15</f>
        <v>72.75</v>
      </c>
      <c r="Y15" s="1">
        <f t="shared" si="13"/>
        <v>90</v>
      </c>
      <c r="Z15" s="1">
        <f t="shared" si="13"/>
        <v>108</v>
      </c>
      <c r="AA15" s="1">
        <f t="shared" si="13"/>
        <v>129.6</v>
      </c>
      <c r="AB15" s="1">
        <f t="shared" si="13"/>
        <v>155.51999999999998</v>
      </c>
      <c r="AC15" s="1">
        <f t="shared" si="13"/>
        <v>186.62399999999997</v>
      </c>
      <c r="AD15" s="1">
        <f t="shared" si="13"/>
        <v>186.62399999999997</v>
      </c>
      <c r="AE15" s="1">
        <f t="shared" si="13"/>
        <v>186.62399999999997</v>
      </c>
      <c r="AF15" s="1">
        <f t="shared" si="13"/>
        <v>186.62399999999997</v>
      </c>
      <c r="AG15" s="1">
        <f t="shared" si="13"/>
        <v>186.62399999999997</v>
      </c>
      <c r="AH15" s="1">
        <f t="shared" si="13"/>
        <v>186.62399999999997</v>
      </c>
    </row>
    <row r="16" spans="1:34" x14ac:dyDescent="0.25">
      <c r="A16" t="s">
        <v>32</v>
      </c>
      <c r="B16" s="1">
        <f t="shared" ref="B16:M16" si="14">+SUM(B12:B15)</f>
        <v>18.475000000000001</v>
      </c>
      <c r="C16" s="1">
        <f t="shared" si="14"/>
        <v>16.942</v>
      </c>
      <c r="D16" s="1">
        <f t="shared" si="14"/>
        <v>18.971</v>
      </c>
      <c r="E16" s="1">
        <f t="shared" si="14"/>
        <v>20.241353</v>
      </c>
      <c r="F16" s="1">
        <f t="shared" si="14"/>
        <v>17.326000000000001</v>
      </c>
      <c r="G16" s="1">
        <f t="shared" si="14"/>
        <v>17.163</v>
      </c>
      <c r="H16" s="1">
        <f t="shared" si="14"/>
        <v>15.968</v>
      </c>
      <c r="I16" s="1">
        <f t="shared" si="14"/>
        <v>16.853000000000005</v>
      </c>
      <c r="J16" s="1">
        <f t="shared" si="14"/>
        <v>17.286999999999999</v>
      </c>
      <c r="K16" s="1">
        <f t="shared" si="14"/>
        <v>18.251999999999999</v>
      </c>
      <c r="L16" s="1">
        <f t="shared" si="14"/>
        <v>20.020999999999997</v>
      </c>
      <c r="M16" s="1">
        <f t="shared" si="14"/>
        <v>19.608999999999998</v>
      </c>
      <c r="U16" s="1">
        <f>+SUM(U12:U15)</f>
        <v>74.629352999999995</v>
      </c>
      <c r="V16" s="1">
        <f>+SUM(V12:V15)</f>
        <v>67.31</v>
      </c>
      <c r="W16" s="1">
        <f>+SUM(W12:W15)</f>
        <v>71.573999999999998</v>
      </c>
      <c r="X16" s="1">
        <f t="shared" ref="X16:AH16" si="15">+W16</f>
        <v>71.573999999999998</v>
      </c>
      <c r="Y16" s="1">
        <f t="shared" si="15"/>
        <v>71.573999999999998</v>
      </c>
      <c r="Z16" s="1">
        <f t="shared" si="15"/>
        <v>71.573999999999998</v>
      </c>
      <c r="AA16" s="1">
        <f t="shared" si="15"/>
        <v>71.573999999999998</v>
      </c>
      <c r="AB16" s="1">
        <f t="shared" si="15"/>
        <v>71.573999999999998</v>
      </c>
      <c r="AC16" s="1">
        <f t="shared" si="15"/>
        <v>71.573999999999998</v>
      </c>
      <c r="AD16" s="1">
        <f t="shared" si="15"/>
        <v>71.573999999999998</v>
      </c>
      <c r="AE16" s="1">
        <f t="shared" si="15"/>
        <v>71.573999999999998</v>
      </c>
      <c r="AF16" s="1">
        <f t="shared" si="15"/>
        <v>71.573999999999998</v>
      </c>
      <c r="AG16" s="1">
        <f t="shared" si="15"/>
        <v>71.573999999999998</v>
      </c>
      <c r="AH16" s="1">
        <f t="shared" si="15"/>
        <v>71.573999999999998</v>
      </c>
    </row>
    <row r="17" spans="1:53" x14ac:dyDescent="0.25">
      <c r="A17" t="s">
        <v>33</v>
      </c>
      <c r="B17" s="1">
        <f t="shared" ref="B17:M17" si="16">+B11-B16</f>
        <v>-14.813292000000001</v>
      </c>
      <c r="C17" s="1">
        <f t="shared" si="16"/>
        <v>-9.1722901000000014</v>
      </c>
      <c r="D17" s="1">
        <f t="shared" si="16"/>
        <v>-9.3142919999999982</v>
      </c>
      <c r="E17" s="1">
        <f t="shared" si="16"/>
        <v>-6.0654788999999916</v>
      </c>
      <c r="F17" s="1">
        <f t="shared" si="16"/>
        <v>-0.81300000000000239</v>
      </c>
      <c r="G17" s="1">
        <f t="shared" si="16"/>
        <v>-0.47300000000000253</v>
      </c>
      <c r="H17" s="1">
        <f t="shared" si="16"/>
        <v>8.6850000000000058</v>
      </c>
      <c r="I17" s="1">
        <f t="shared" si="16"/>
        <v>14.232999999999986</v>
      </c>
      <c r="J17" s="1">
        <f t="shared" si="16"/>
        <v>21.820999999999998</v>
      </c>
      <c r="K17" s="1">
        <f t="shared" si="16"/>
        <v>39.201000000000008</v>
      </c>
      <c r="L17" s="1">
        <f t="shared" si="16"/>
        <v>39.638000000000005</v>
      </c>
      <c r="M17" s="1">
        <f t="shared" si="16"/>
        <v>36.885546850357571</v>
      </c>
      <c r="U17" s="1">
        <f>+U11-U16</f>
        <v>-39.365352999999985</v>
      </c>
      <c r="V17" s="1">
        <f t="shared" ref="V17:AH17" si="17">+V11-V16</f>
        <v>21.631999999999977</v>
      </c>
      <c r="W17" s="1">
        <f t="shared" si="17"/>
        <v>136.92599999999999</v>
      </c>
      <c r="X17" s="1">
        <f t="shared" si="17"/>
        <v>200.14201999999995</v>
      </c>
      <c r="Y17" s="1">
        <f t="shared" si="17"/>
        <v>304.47782100000001</v>
      </c>
      <c r="Z17" s="1">
        <f t="shared" si="17"/>
        <v>413.28041204999994</v>
      </c>
      <c r="AA17" s="1">
        <f t="shared" si="17"/>
        <v>545.52313265250007</v>
      </c>
      <c r="AB17" s="1">
        <f t="shared" si="17"/>
        <v>705.97798928512498</v>
      </c>
      <c r="AC17" s="1">
        <f t="shared" si="17"/>
        <v>900.37558874938111</v>
      </c>
      <c r="AD17" s="1">
        <f t="shared" si="17"/>
        <v>886.76506818685016</v>
      </c>
      <c r="AE17" s="1">
        <f t="shared" si="17"/>
        <v>872.47402159619264</v>
      </c>
      <c r="AF17" s="1">
        <f t="shared" si="17"/>
        <v>857.46842267600221</v>
      </c>
      <c r="AG17" s="1">
        <f t="shared" si="17"/>
        <v>841.71254380980236</v>
      </c>
      <c r="AH17" s="1">
        <f t="shared" si="17"/>
        <v>825.16887100029248</v>
      </c>
    </row>
    <row r="18" spans="1:53" x14ac:dyDescent="0.25">
      <c r="A18" t="s">
        <v>34</v>
      </c>
      <c r="B18" s="1">
        <f>0.033068-3.389-6.669-0.166</f>
        <v>-10.190932</v>
      </c>
      <c r="C18" s="1">
        <f>0.002-4.573-0.019421</f>
        <v>-4.590421000000001</v>
      </c>
      <c r="D18" s="1">
        <f>0.007-5.58</f>
        <v>-5.5730000000000004</v>
      </c>
      <c r="E18" s="1">
        <f>0.044833-19.279-6.669-0.0634-D18-C18-B18</f>
        <v>-5.6122139999999998</v>
      </c>
      <c r="F18" s="1">
        <f>0.166-6.115-0.027</f>
        <v>-5.976</v>
      </c>
      <c r="G18" s="1">
        <f>0.414-6.299-0.013</f>
        <v>-5.8980000000000006</v>
      </c>
      <c r="H18" s="1">
        <f>0.423-6.398-0.145</f>
        <v>-6.1199999999999992</v>
      </c>
      <c r="I18" s="1">
        <f>1.617-25.027-26.174-0.287-H18-G18-F18</f>
        <v>-31.877000000000002</v>
      </c>
      <c r="J18" s="1">
        <f>0.384-3.769-0.035</f>
        <v>-3.4200000000000004</v>
      </c>
      <c r="K18" s="1">
        <f>0.449-3.783-0.016</f>
        <v>-3.35</v>
      </c>
      <c r="L18" s="1">
        <f>0.666-3.499-0.056</f>
        <v>-2.8890000000000002</v>
      </c>
      <c r="M18">
        <f>+(main!L5-main!L6)*0.01</f>
        <v>-16.113579999999999</v>
      </c>
      <c r="U18" s="1">
        <f t="shared" ref="U18:V20" si="18">+SUM(B18:E18)</f>
        <v>-25.966567000000005</v>
      </c>
      <c r="V18" s="1">
        <f t="shared" ref="V18" si="19">+SUM(F18:I18)</f>
        <v>-49.871000000000002</v>
      </c>
      <c r="W18" s="1">
        <f>+V36*0.02</f>
        <v>1.0186600000000001</v>
      </c>
      <c r="X18" s="1">
        <f t="shared" ref="X18:AH18" si="20">+W36*0.02</f>
        <v>3.2809524240000001</v>
      </c>
      <c r="Y18" s="1">
        <f t="shared" si="20"/>
        <v>6.680952424</v>
      </c>
      <c r="Z18" s="1">
        <f t="shared" si="20"/>
        <v>11.280952424000001</v>
      </c>
      <c r="AA18" s="1">
        <f t="shared" si="20"/>
        <v>18.243758801373598</v>
      </c>
      <c r="AB18" s="1">
        <f t="shared" si="20"/>
        <v>27.489535821217128</v>
      </c>
      <c r="AC18" s="1">
        <f t="shared" si="20"/>
        <v>39.518403232961134</v>
      </c>
      <c r="AD18" s="1">
        <f t="shared" si="20"/>
        <v>54.932664701471552</v>
      </c>
      <c r="AE18" s="1">
        <f t="shared" si="20"/>
        <v>70.376507520840022</v>
      </c>
      <c r="AF18" s="1">
        <f t="shared" si="20"/>
        <v>85.839256198359365</v>
      </c>
      <c r="AG18" s="1">
        <f t="shared" si="20"/>
        <v>101.3095021318989</v>
      </c>
      <c r="AH18" s="1">
        <f t="shared" si="20"/>
        <v>116.7750636853428</v>
      </c>
    </row>
    <row r="19" spans="1:53" x14ac:dyDescent="0.25">
      <c r="A19" t="s">
        <v>35</v>
      </c>
      <c r="B19" s="1">
        <f t="shared" ref="B19:M19" si="21">+B17+B18</f>
        <v>-25.004224000000001</v>
      </c>
      <c r="C19" s="1">
        <f t="shared" si="21"/>
        <v>-13.762711100000002</v>
      </c>
      <c r="D19" s="1">
        <f t="shared" si="21"/>
        <v>-14.887291999999999</v>
      </c>
      <c r="E19" s="1">
        <f t="shared" si="21"/>
        <v>-11.677692899999991</v>
      </c>
      <c r="F19" s="1">
        <f t="shared" si="21"/>
        <v>-6.7890000000000024</v>
      </c>
      <c r="G19" s="1">
        <f t="shared" si="21"/>
        <v>-6.3710000000000031</v>
      </c>
      <c r="H19" s="1">
        <f t="shared" si="21"/>
        <v>2.5650000000000066</v>
      </c>
      <c r="I19" s="1">
        <f t="shared" si="21"/>
        <v>-17.644000000000016</v>
      </c>
      <c r="J19" s="1">
        <f t="shared" si="21"/>
        <v>18.400999999999996</v>
      </c>
      <c r="K19" s="1">
        <f t="shared" si="21"/>
        <v>35.851000000000006</v>
      </c>
      <c r="L19" s="1">
        <f t="shared" si="21"/>
        <v>36.749000000000002</v>
      </c>
      <c r="M19" s="1">
        <f t="shared" si="21"/>
        <v>20.771966850357572</v>
      </c>
      <c r="U19" s="1">
        <f>+U17+U18</f>
        <v>-65.331919999999997</v>
      </c>
      <c r="V19" s="1">
        <f>+V17+V18</f>
        <v>-28.239000000000026</v>
      </c>
      <c r="W19" s="1">
        <f>+W17+W18</f>
        <v>137.94466</v>
      </c>
      <c r="X19" s="1">
        <f t="shared" ref="X19:AH19" si="22">+X17+X18</f>
        <v>203.42297242399994</v>
      </c>
      <c r="Y19" s="1">
        <f t="shared" si="22"/>
        <v>311.158773424</v>
      </c>
      <c r="Z19" s="1">
        <f t="shared" si="22"/>
        <v>424.56136447399996</v>
      </c>
      <c r="AA19" s="1">
        <f t="shared" si="22"/>
        <v>563.76689145387365</v>
      </c>
      <c r="AB19" s="1">
        <f t="shared" si="22"/>
        <v>733.46752510634212</v>
      </c>
      <c r="AC19" s="1">
        <f t="shared" si="22"/>
        <v>939.89399198234219</v>
      </c>
      <c r="AD19" s="1">
        <f t="shared" si="22"/>
        <v>941.69773288832175</v>
      </c>
      <c r="AE19" s="1">
        <f t="shared" si="22"/>
        <v>942.85052911703269</v>
      </c>
      <c r="AF19" s="1">
        <f t="shared" si="22"/>
        <v>943.30767887436161</v>
      </c>
      <c r="AG19" s="1">
        <f t="shared" si="22"/>
        <v>943.02204594170121</v>
      </c>
      <c r="AH19" s="1">
        <f t="shared" si="22"/>
        <v>941.94393468563533</v>
      </c>
    </row>
    <row r="20" spans="1:53" x14ac:dyDescent="0.25">
      <c r="A20" t="s">
        <v>36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0.59499999999999997</v>
      </c>
      <c r="K20" s="1">
        <v>3.7890000000000001</v>
      </c>
      <c r="L20" s="1">
        <v>0.84</v>
      </c>
      <c r="M20">
        <f>+M19*0.18</f>
        <v>3.7389540330643629</v>
      </c>
      <c r="U20" s="1">
        <f t="shared" si="18"/>
        <v>0</v>
      </c>
      <c r="V20" s="1">
        <f t="shared" si="18"/>
        <v>0</v>
      </c>
      <c r="W20" s="1">
        <f>+W19*0.18</f>
        <v>24.830038800000001</v>
      </c>
      <c r="X20" s="1">
        <f t="shared" ref="X20:AH20" si="23">+X19*0.18</f>
        <v>36.616135036319989</v>
      </c>
      <c r="Y20" s="1">
        <f t="shared" si="23"/>
        <v>56.008579216320001</v>
      </c>
      <c r="Z20" s="1">
        <f t="shared" si="23"/>
        <v>76.421045605319989</v>
      </c>
      <c r="AA20" s="1">
        <f t="shared" si="23"/>
        <v>101.47804046169725</v>
      </c>
      <c r="AB20" s="1">
        <f t="shared" si="23"/>
        <v>132.02415451914158</v>
      </c>
      <c r="AC20" s="1">
        <f t="shared" si="23"/>
        <v>169.18091855682158</v>
      </c>
      <c r="AD20" s="1">
        <f t="shared" si="23"/>
        <v>169.50559191989791</v>
      </c>
      <c r="AE20" s="1">
        <f t="shared" si="23"/>
        <v>169.71309524106587</v>
      </c>
      <c r="AF20" s="1">
        <f t="shared" si="23"/>
        <v>169.79538219738509</v>
      </c>
      <c r="AG20" s="1">
        <f t="shared" si="23"/>
        <v>169.74396826950621</v>
      </c>
      <c r="AH20" s="1">
        <f t="shared" si="23"/>
        <v>169.54990824341436</v>
      </c>
    </row>
    <row r="21" spans="1:53" x14ac:dyDescent="0.25">
      <c r="A21" t="s">
        <v>37</v>
      </c>
      <c r="B21" s="1">
        <f t="shared" ref="B21:M21" si="24">+B19-B20</f>
        <v>-25.004224000000001</v>
      </c>
      <c r="C21" s="1">
        <f t="shared" si="24"/>
        <v>-13.762711100000002</v>
      </c>
      <c r="D21" s="1">
        <f t="shared" si="24"/>
        <v>-14.887291999999999</v>
      </c>
      <c r="E21" s="1">
        <f t="shared" si="24"/>
        <v>-11.677692899999991</v>
      </c>
      <c r="F21" s="1">
        <f t="shared" si="24"/>
        <v>-6.7890000000000024</v>
      </c>
      <c r="G21" s="1">
        <f t="shared" si="24"/>
        <v>-6.3710000000000031</v>
      </c>
      <c r="H21" s="1">
        <f t="shared" si="24"/>
        <v>2.5650000000000066</v>
      </c>
      <c r="I21" s="1">
        <f t="shared" si="24"/>
        <v>-17.644000000000016</v>
      </c>
      <c r="J21" s="1">
        <f t="shared" si="24"/>
        <v>17.805999999999997</v>
      </c>
      <c r="K21" s="1">
        <f t="shared" si="24"/>
        <v>32.062000000000005</v>
      </c>
      <c r="L21" s="1">
        <f t="shared" si="24"/>
        <v>35.908999999999999</v>
      </c>
      <c r="M21" s="1">
        <f t="shared" si="24"/>
        <v>17.033012817293208</v>
      </c>
      <c r="U21" s="1">
        <f>+U19-U20</f>
        <v>-65.331919999999997</v>
      </c>
      <c r="V21" s="1">
        <f>+V19-V20</f>
        <v>-28.239000000000026</v>
      </c>
      <c r="W21" s="1">
        <f>+W19-W20</f>
        <v>113.1146212</v>
      </c>
      <c r="X21" s="1">
        <v>170</v>
      </c>
      <c r="Y21" s="1">
        <v>230</v>
      </c>
      <c r="Z21" s="1">
        <f t="shared" ref="Z21:AH21" si="25">+Z19-Z20</f>
        <v>348.14031886867997</v>
      </c>
      <c r="AA21" s="1">
        <f t="shared" si="25"/>
        <v>462.28885099217644</v>
      </c>
      <c r="AB21" s="1">
        <f t="shared" si="25"/>
        <v>601.44337058720055</v>
      </c>
      <c r="AC21" s="1">
        <f t="shared" si="25"/>
        <v>770.71307342552063</v>
      </c>
      <c r="AD21" s="1">
        <f t="shared" si="25"/>
        <v>772.19214096842381</v>
      </c>
      <c r="AE21" s="1">
        <f t="shared" si="25"/>
        <v>773.13743387596685</v>
      </c>
      <c r="AF21" s="1">
        <f t="shared" si="25"/>
        <v>773.51229667697658</v>
      </c>
      <c r="AG21" s="1">
        <f t="shared" si="25"/>
        <v>773.27807767219497</v>
      </c>
      <c r="AH21" s="1">
        <f t="shared" si="25"/>
        <v>772.39402644222093</v>
      </c>
      <c r="AI21">
        <f>+AH21*0.99</f>
        <v>764.67008617779868</v>
      </c>
      <c r="AJ21">
        <f t="shared" ref="AJ21:BA21" si="26">+AI21*0.99</f>
        <v>757.02338531602072</v>
      </c>
      <c r="AK21">
        <f t="shared" si="26"/>
        <v>749.45315146286055</v>
      </c>
      <c r="AL21">
        <f t="shared" si="26"/>
        <v>741.9586199482319</v>
      </c>
      <c r="AM21">
        <f t="shared" si="26"/>
        <v>734.5390337487496</v>
      </c>
      <c r="AN21">
        <f t="shared" si="26"/>
        <v>727.19364341126209</v>
      </c>
      <c r="AO21">
        <f t="shared" si="26"/>
        <v>719.92170697714948</v>
      </c>
      <c r="AP21">
        <f t="shared" si="26"/>
        <v>712.72248990737796</v>
      </c>
      <c r="AQ21">
        <f t="shared" si="26"/>
        <v>705.59526500830418</v>
      </c>
      <c r="AR21">
        <f t="shared" si="26"/>
        <v>698.53931235822108</v>
      </c>
      <c r="AS21">
        <f t="shared" si="26"/>
        <v>691.5539192346389</v>
      </c>
      <c r="AT21">
        <f t="shared" si="26"/>
        <v>684.63838004229251</v>
      </c>
      <c r="AU21">
        <f t="shared" si="26"/>
        <v>677.79199624186958</v>
      </c>
      <c r="AV21">
        <f t="shared" si="26"/>
        <v>671.01407627945093</v>
      </c>
      <c r="AW21">
        <f t="shared" si="26"/>
        <v>664.30393551665645</v>
      </c>
      <c r="AX21">
        <f t="shared" si="26"/>
        <v>657.66089616148986</v>
      </c>
      <c r="AY21">
        <f t="shared" si="26"/>
        <v>651.08428719987501</v>
      </c>
      <c r="AZ21">
        <f t="shared" si="26"/>
        <v>644.57344432787625</v>
      </c>
      <c r="BA21">
        <f t="shared" si="26"/>
        <v>638.12770988459749</v>
      </c>
    </row>
    <row r="22" spans="1:53" x14ac:dyDescent="0.25">
      <c r="A22" t="s">
        <v>38</v>
      </c>
      <c r="B22" s="1">
        <f t="shared" ref="B22:M22" si="27">+B21/B23</f>
        <v>-0.12765659030688564</v>
      </c>
      <c r="C22" s="1">
        <f t="shared" si="27"/>
        <v>-7.0091677234368724E-2</v>
      </c>
      <c r="D22" s="1">
        <f t="shared" si="27"/>
        <v>-7.5807437507319872E-2</v>
      </c>
      <c r="E22" s="1">
        <f t="shared" si="27"/>
        <v>-5.9015802480366253E-2</v>
      </c>
      <c r="F22" s="1">
        <f t="shared" si="27"/>
        <v>-3.0591864024143656E-2</v>
      </c>
      <c r="G22" s="1">
        <f t="shared" si="27"/>
        <v>-2.8610176798408514E-2</v>
      </c>
      <c r="H22" s="1">
        <f t="shared" si="27"/>
        <v>1.0934855544803094E-2</v>
      </c>
      <c r="I22" s="1">
        <f t="shared" si="27"/>
        <v>-7.9505501376048157E-2</v>
      </c>
      <c r="J22" s="1">
        <f t="shared" si="27"/>
        <v>7.7797976638297864E-2</v>
      </c>
      <c r="K22" s="1">
        <f t="shared" si="27"/>
        <v>0.13795032205045243</v>
      </c>
      <c r="L22" s="1">
        <f t="shared" si="27"/>
        <v>0.15308371452566599</v>
      </c>
      <c r="M22" s="1">
        <f t="shared" si="27"/>
        <v>7.2613463801122935E-2</v>
      </c>
      <c r="U22" s="1">
        <f>+U21/U23</f>
        <v>-0.33227462583330042</v>
      </c>
      <c r="V22" s="1">
        <f>+V21/V23</f>
        <v>-0.1253538046659769</v>
      </c>
      <c r="W22" s="1">
        <f>+W21/W23</f>
        <v>0.50211934313434459</v>
      </c>
      <c r="X22" s="1">
        <f t="shared" ref="X22:AH22" si="28">+X21/X23</f>
        <v>0.75463531970735687</v>
      </c>
      <c r="Y22" s="1">
        <f t="shared" si="28"/>
        <v>1.0209771972511299</v>
      </c>
      <c r="Z22" s="1">
        <f t="shared" si="28"/>
        <v>1.5454057696028676</v>
      </c>
      <c r="AA22" s="1">
        <f t="shared" si="28"/>
        <v>2.0521146756801629</v>
      </c>
      <c r="AB22" s="1">
        <f t="shared" si="28"/>
        <v>2.6698259426408377</v>
      </c>
      <c r="AC22" s="1">
        <f t="shared" si="28"/>
        <v>3.4212194503947493</v>
      </c>
      <c r="AD22" s="1">
        <f t="shared" si="28"/>
        <v>3.4277850775012642</v>
      </c>
      <c r="AE22" s="1">
        <f t="shared" si="28"/>
        <v>3.4319812622983279</v>
      </c>
      <c r="AF22" s="1">
        <f t="shared" si="28"/>
        <v>3.4336452900023655</v>
      </c>
      <c r="AG22" s="1">
        <f t="shared" si="28"/>
        <v>3.4326055845108661</v>
      </c>
      <c r="AH22" s="1">
        <f t="shared" si="28"/>
        <v>3.4286812534369298</v>
      </c>
    </row>
    <row r="23" spans="1:53" x14ac:dyDescent="0.25">
      <c r="A23" t="s">
        <v>2</v>
      </c>
      <c r="B23" s="1">
        <v>195.87100000000001</v>
      </c>
      <c r="C23" s="1">
        <v>196.35300000000001</v>
      </c>
      <c r="D23" s="1">
        <v>196.38300000000001</v>
      </c>
      <c r="E23" s="1">
        <v>197.874</v>
      </c>
      <c r="F23" s="1">
        <v>221.92175</v>
      </c>
      <c r="G23" s="1">
        <v>222.68299999999999</v>
      </c>
      <c r="H23" s="1">
        <v>234.571</v>
      </c>
      <c r="I23" s="1">
        <v>221.92175</v>
      </c>
      <c r="J23" s="1">
        <v>228.87484699999999</v>
      </c>
      <c r="K23" s="1">
        <v>232.417</v>
      </c>
      <c r="L23" s="1">
        <v>234.571</v>
      </c>
      <c r="M23" s="1">
        <f>+L23</f>
        <v>234.571</v>
      </c>
      <c r="U23" s="1">
        <f>+AVERAGE(B23:E23)</f>
        <v>196.62025000000003</v>
      </c>
      <c r="V23" s="1">
        <f>+AVERAGE(F23:I23)</f>
        <v>225.27437499999999</v>
      </c>
      <c r="W23" s="1">
        <f>+V23</f>
        <v>225.27437499999999</v>
      </c>
      <c r="X23" s="1">
        <f t="shared" ref="X23:AH23" si="29">+W23</f>
        <v>225.27437499999999</v>
      </c>
      <c r="Y23" s="1">
        <f t="shared" si="29"/>
        <v>225.27437499999999</v>
      </c>
      <c r="Z23" s="1">
        <f t="shared" si="29"/>
        <v>225.27437499999999</v>
      </c>
      <c r="AA23" s="1">
        <f t="shared" si="29"/>
        <v>225.27437499999999</v>
      </c>
      <c r="AB23" s="1">
        <f t="shared" si="29"/>
        <v>225.27437499999999</v>
      </c>
      <c r="AC23" s="1">
        <f t="shared" si="29"/>
        <v>225.27437499999999</v>
      </c>
      <c r="AD23" s="1">
        <f t="shared" si="29"/>
        <v>225.27437499999999</v>
      </c>
      <c r="AE23" s="1">
        <f t="shared" si="29"/>
        <v>225.27437499999999</v>
      </c>
      <c r="AF23" s="1">
        <f t="shared" si="29"/>
        <v>225.27437499999999</v>
      </c>
      <c r="AG23" s="1">
        <f t="shared" si="29"/>
        <v>225.27437499999999</v>
      </c>
      <c r="AH23" s="1">
        <f t="shared" si="29"/>
        <v>225.27437499999999</v>
      </c>
    </row>
    <row r="24" spans="1:53" x14ac:dyDescent="0.25">
      <c r="E24" t="s">
        <v>25</v>
      </c>
    </row>
    <row r="25" spans="1:53" x14ac:dyDescent="0.25">
      <c r="A25" t="s">
        <v>39</v>
      </c>
      <c r="B25" s="3"/>
      <c r="C25" s="3"/>
      <c r="D25" s="3"/>
      <c r="E25" s="3"/>
      <c r="F25" s="3">
        <f t="shared" ref="F25:L25" si="30">+F9/B9-1</f>
        <v>0.95562557271302739</v>
      </c>
      <c r="G25" s="3">
        <f t="shared" si="30"/>
        <v>0.77329345030024865</v>
      </c>
      <c r="H25" s="3">
        <f t="shared" si="30"/>
        <v>0.63727130891268446</v>
      </c>
      <c r="I25" s="3">
        <f t="shared" si="30"/>
        <v>0.47862560090760753</v>
      </c>
      <c r="J25" s="3">
        <f t="shared" si="30"/>
        <v>0.43857398882524512</v>
      </c>
      <c r="K25" s="3">
        <f t="shared" si="30"/>
        <v>0.78286179997671446</v>
      </c>
      <c r="L25" s="3">
        <f t="shared" si="30"/>
        <v>0.78133036046079507</v>
      </c>
      <c r="U25" s="3" t="s">
        <v>25</v>
      </c>
      <c r="V25" s="3">
        <f>+V9/U9-1</f>
        <v>0.67587196095484092</v>
      </c>
      <c r="W25" s="3">
        <f t="shared" ref="W25:AH25" si="31">+W9/V9-1</f>
        <v>0.61493329202408864</v>
      </c>
      <c r="X25" s="3">
        <f t="shared" si="31"/>
        <v>0.16306954436450849</v>
      </c>
      <c r="Y25" s="3">
        <f t="shared" si="31"/>
        <v>0.23711340206185572</v>
      </c>
      <c r="Z25" s="3">
        <f t="shared" si="31"/>
        <v>0.19999999999999996</v>
      </c>
      <c r="AA25" s="3">
        <f t="shared" si="31"/>
        <v>0.19999999999999996</v>
      </c>
      <c r="AB25" s="3">
        <f t="shared" si="31"/>
        <v>0.19999999999999996</v>
      </c>
      <c r="AC25" s="3">
        <f t="shared" si="31"/>
        <v>0.19999999999999996</v>
      </c>
      <c r="AD25" s="3">
        <f t="shared" si="31"/>
        <v>0</v>
      </c>
      <c r="AE25" s="3">
        <f t="shared" si="31"/>
        <v>0</v>
      </c>
      <c r="AF25" s="3">
        <f t="shared" si="31"/>
        <v>0</v>
      </c>
      <c r="AG25" s="3">
        <f t="shared" si="31"/>
        <v>0</v>
      </c>
      <c r="AH25" s="3">
        <f t="shared" si="31"/>
        <v>0</v>
      </c>
    </row>
    <row r="26" spans="1:53" x14ac:dyDescent="0.25">
      <c r="A26" t="s">
        <v>40</v>
      </c>
      <c r="B26" s="3"/>
      <c r="C26" s="3">
        <f t="shared" ref="C26:L26" si="32">+C9/B9-1</f>
        <v>0.16500189260738218</v>
      </c>
      <c r="D26" s="3">
        <f t="shared" si="32"/>
        <v>0.21191740384128765</v>
      </c>
      <c r="E26" s="3">
        <f t="shared" si="32"/>
        <v>0.21638426099304486</v>
      </c>
      <c r="F26" s="3">
        <f t="shared" si="32"/>
        <v>0.1387155792059267</v>
      </c>
      <c r="G26" s="3">
        <f t="shared" si="32"/>
        <v>5.6383315177285009E-2</v>
      </c>
      <c r="H26" s="3">
        <f t="shared" si="32"/>
        <v>0.11895613991317822</v>
      </c>
      <c r="I26" s="3">
        <f t="shared" si="32"/>
        <v>9.8520995912299902E-2</v>
      </c>
      <c r="J26" s="3">
        <f t="shared" si="32"/>
        <v>0.10787112837097301</v>
      </c>
      <c r="K26" s="3">
        <f t="shared" si="32"/>
        <v>0.30920305343511445</v>
      </c>
      <c r="L26" s="3">
        <f t="shared" si="32"/>
        <v>0.11799498092190563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53" x14ac:dyDescent="0.25">
      <c r="A27" t="s">
        <v>41</v>
      </c>
      <c r="B27" s="3">
        <f t="shared" ref="B27:L27" si="33">+B11/B9</f>
        <v>0.12582018140717355</v>
      </c>
      <c r="C27" s="3">
        <f t="shared" si="33"/>
        <v>0.2291631434958834</v>
      </c>
      <c r="D27" s="3">
        <f t="shared" si="33"/>
        <v>0.23501525004753018</v>
      </c>
      <c r="E27" s="3">
        <f t="shared" si="33"/>
        <v>0.28362597404033812</v>
      </c>
      <c r="F27" s="3">
        <f t="shared" si="33"/>
        <v>0.29013950873247352</v>
      </c>
      <c r="G27" s="3">
        <f t="shared" si="33"/>
        <v>0.2775975916038787</v>
      </c>
      <c r="H27" s="3">
        <f t="shared" si="33"/>
        <v>0.36645113340765523</v>
      </c>
      <c r="I27" s="3">
        <f t="shared" si="33"/>
        <v>0.42063245064476412</v>
      </c>
      <c r="J27" s="3">
        <f t="shared" si="33"/>
        <v>0.47765496183206102</v>
      </c>
      <c r="K27" s="3">
        <f t="shared" si="33"/>
        <v>0.53598716310137984</v>
      </c>
      <c r="L27" s="3">
        <f t="shared" si="33"/>
        <v>0.49782625021904386</v>
      </c>
      <c r="M27" s="3">
        <f>+L27</f>
        <v>0.49782625021904386</v>
      </c>
      <c r="O27" t="s">
        <v>42</v>
      </c>
      <c r="P27" s="3">
        <v>0.1</v>
      </c>
      <c r="U27" s="3">
        <f t="shared" ref="U27:V27" si="34">+U11/U9</f>
        <v>0.22887109126546301</v>
      </c>
      <c r="V27" s="3">
        <f t="shared" si="34"/>
        <v>0.3444493929477373</v>
      </c>
      <c r="W27" s="3">
        <f t="shared" ref="W27:AH27" si="35">+W11/W9</f>
        <v>0.5</v>
      </c>
      <c r="X27" s="3">
        <f t="shared" si="35"/>
        <v>0.56023921649484532</v>
      </c>
      <c r="Y27" s="3">
        <f t="shared" si="35"/>
        <v>0.62675303500000001</v>
      </c>
      <c r="Z27" s="3">
        <f t="shared" si="35"/>
        <v>0.67340890562499989</v>
      </c>
      <c r="AA27" s="3">
        <f t="shared" si="35"/>
        <v>0.71423279242187498</v>
      </c>
      <c r="AB27" s="3">
        <f t="shared" si="35"/>
        <v>0.74995369336914064</v>
      </c>
      <c r="AC27" s="3">
        <f t="shared" si="35"/>
        <v>0.78120948169799798</v>
      </c>
      <c r="AD27" s="3">
        <f t="shared" si="35"/>
        <v>0.77026995578289792</v>
      </c>
      <c r="AE27" s="3">
        <f t="shared" si="35"/>
        <v>0.7587834535720428</v>
      </c>
      <c r="AF27" s="3">
        <f t="shared" si="35"/>
        <v>0.74672262625064478</v>
      </c>
      <c r="AG27" s="3">
        <f t="shared" si="35"/>
        <v>0.73405875756317707</v>
      </c>
      <c r="AH27" s="3">
        <f t="shared" si="35"/>
        <v>0.72076169544133595</v>
      </c>
    </row>
    <row r="28" spans="1:53" x14ac:dyDescent="0.25">
      <c r="A28" t="s">
        <v>43</v>
      </c>
      <c r="B28" s="3">
        <f t="shared" ref="B28:L28" si="36">+B12/B9</f>
        <v>2.1441303675245615E-2</v>
      </c>
      <c r="C28" s="3">
        <f t="shared" si="36"/>
        <v>2.5748635000118376E-2</v>
      </c>
      <c r="D28" s="3">
        <f t="shared" si="36"/>
        <v>2.5334811335237521E-2</v>
      </c>
      <c r="E28" s="3">
        <f t="shared" si="36"/>
        <v>2.1508227284084257E-2</v>
      </c>
      <c r="F28" s="3">
        <f t="shared" si="36"/>
        <v>1.5022665776434621E-2</v>
      </c>
      <c r="G28" s="3">
        <f t="shared" si="36"/>
        <v>2.3335495567420123E-2</v>
      </c>
      <c r="H28" s="3">
        <f t="shared" si="36"/>
        <v>8.859160163507988E-3</v>
      </c>
      <c r="I28" s="3">
        <f t="shared" si="36"/>
        <v>6.0349376885918005E-3</v>
      </c>
      <c r="J28" s="3">
        <f t="shared" si="36"/>
        <v>5.4961832061068703E-3</v>
      </c>
      <c r="K28" s="3">
        <f t="shared" si="36"/>
        <v>5.2243192059034807E-3</v>
      </c>
      <c r="L28" s="3">
        <f t="shared" si="36"/>
        <v>3.4379459107636077E-3</v>
      </c>
      <c r="O28" t="s">
        <v>44</v>
      </c>
      <c r="P28" s="4">
        <f>+NPV(P27,W21:BA21)-main!L5+main!L6</f>
        <v>6706.5597201835208</v>
      </c>
      <c r="U28" s="3">
        <f t="shared" ref="U28:V28" si="37">+U12/U9</f>
        <v>2.3449162112696167E-2</v>
      </c>
      <c r="V28" s="3">
        <f t="shared" si="37"/>
        <v>1.2780047634723003E-2</v>
      </c>
      <c r="W28" s="3">
        <f t="shared" ref="W28:AH28" si="38">+W12/W9</f>
        <v>7.9136690647482015E-3</v>
      </c>
      <c r="X28" s="3">
        <f t="shared" si="38"/>
        <v>6.804123711340206E-3</v>
      </c>
      <c r="Y28" s="3">
        <f t="shared" si="38"/>
        <v>5.4999999999999997E-3</v>
      </c>
      <c r="Z28" s="3">
        <f t="shared" si="38"/>
        <v>4.5833333333333334E-3</v>
      </c>
      <c r="AA28" s="3">
        <f t="shared" si="38"/>
        <v>3.8194444444444443E-3</v>
      </c>
      <c r="AB28" s="3">
        <f t="shared" si="38"/>
        <v>3.1828703703703702E-3</v>
      </c>
      <c r="AC28" s="3">
        <f t="shared" si="38"/>
        <v>2.652391975308642E-3</v>
      </c>
      <c r="AD28" s="3">
        <f t="shared" si="38"/>
        <v>2.652391975308642E-3</v>
      </c>
      <c r="AE28" s="3">
        <f t="shared" si="38"/>
        <v>2.652391975308642E-3</v>
      </c>
      <c r="AF28" s="3">
        <f t="shared" si="38"/>
        <v>2.652391975308642E-3</v>
      </c>
      <c r="AG28" s="3">
        <f t="shared" si="38"/>
        <v>2.652391975308642E-3</v>
      </c>
      <c r="AH28" s="3">
        <f t="shared" si="38"/>
        <v>2.652391975308642E-3</v>
      </c>
    </row>
    <row r="29" spans="1:53" x14ac:dyDescent="0.25">
      <c r="A29" t="s">
        <v>45</v>
      </c>
      <c r="B29" s="3">
        <f t="shared" ref="B29:L29" si="39">+B13/B9</f>
        <v>0.13655086667536231</v>
      </c>
      <c r="C29" s="3">
        <f t="shared" si="39"/>
        <v>0.11564764929606432</v>
      </c>
      <c r="D29" s="3">
        <f t="shared" si="39"/>
        <v>0.11825345655900012</v>
      </c>
      <c r="E29" s="3">
        <f t="shared" si="39"/>
        <v>0.10181894758019049</v>
      </c>
      <c r="F29" s="3">
        <f t="shared" si="39"/>
        <v>3.1275257405910674E-2</v>
      </c>
      <c r="G29" s="3">
        <f t="shared" si="39"/>
        <v>2.2171215674533871E-2</v>
      </c>
      <c r="H29" s="3">
        <f t="shared" si="39"/>
        <v>6.9416573764399846E-3</v>
      </c>
      <c r="I29" s="3">
        <f t="shared" si="39"/>
        <v>9.2824377900761861E-3</v>
      </c>
      <c r="J29" s="3">
        <f t="shared" si="39"/>
        <v>1.2274809160305343E-2</v>
      </c>
      <c r="K29" s="3">
        <f t="shared" si="39"/>
        <v>8.788051235644783E-3</v>
      </c>
      <c r="L29" s="3">
        <f t="shared" si="39"/>
        <v>8.5197640167224351E-3</v>
      </c>
      <c r="O29" t="s">
        <v>46</v>
      </c>
      <c r="P29" s="5">
        <f>+P28/main!L3</f>
        <v>28.370711715357913</v>
      </c>
      <c r="U29" s="3">
        <f t="shared" ref="U29:V29" si="40">+U13/U9</f>
        <v>0.11580498189228831</v>
      </c>
      <c r="V29" s="3">
        <f t="shared" si="40"/>
        <v>1.6521116124160101E-2</v>
      </c>
      <c r="W29" s="3">
        <f t="shared" ref="W29:AH29" si="41">+W13/W9</f>
        <v>1.1990407673860911E-2</v>
      </c>
      <c r="X29" s="3">
        <f t="shared" si="41"/>
        <v>1.3402061855670102E-2</v>
      </c>
      <c r="Y29" s="3">
        <f t="shared" si="41"/>
        <v>1.4083333333333335E-2</v>
      </c>
      <c r="Z29" s="3">
        <f t="shared" si="41"/>
        <v>1.5256944444444446E-2</v>
      </c>
      <c r="AA29" s="3">
        <f t="shared" si="41"/>
        <v>1.6528356481481484E-2</v>
      </c>
      <c r="AB29" s="3">
        <f t="shared" si="41"/>
        <v>1.7905719521604944E-2</v>
      </c>
      <c r="AC29" s="3">
        <f t="shared" si="41"/>
        <v>1.9397862815072026E-2</v>
      </c>
      <c r="AD29" s="3">
        <f t="shared" si="41"/>
        <v>2.5217221659593631E-2</v>
      </c>
      <c r="AE29" s="3">
        <f t="shared" si="41"/>
        <v>3.2782388157471726E-2</v>
      </c>
      <c r="AF29" s="3">
        <f t="shared" si="41"/>
        <v>4.2617104604713241E-2</v>
      </c>
      <c r="AG29" s="3">
        <f t="shared" si="41"/>
        <v>5.5402235986127223E-2</v>
      </c>
      <c r="AH29" s="3">
        <f t="shared" si="41"/>
        <v>7.2022906781965393E-2</v>
      </c>
    </row>
    <row r="30" spans="1:53" x14ac:dyDescent="0.25">
      <c r="A30" t="s">
        <v>47</v>
      </c>
      <c r="B30" s="3">
        <f t="shared" ref="B30:L30" si="42">+B15/B9</f>
        <v>0.47071221001152197</v>
      </c>
      <c r="C30" s="3">
        <f t="shared" si="42"/>
        <v>0.35304829433152002</v>
      </c>
      <c r="D30" s="3">
        <f t="shared" si="42"/>
        <v>0.31377687084074679</v>
      </c>
      <c r="E30" s="3">
        <f t="shared" si="42"/>
        <v>0.27802635008338117</v>
      </c>
      <c r="F30" s="3">
        <f t="shared" si="42"/>
        <v>0.25498119970481781</v>
      </c>
      <c r="G30" s="3">
        <f t="shared" si="42"/>
        <v>0.23698085591204696</v>
      </c>
      <c r="H30" s="3">
        <f t="shared" si="42"/>
        <v>0.21889260497956151</v>
      </c>
      <c r="I30" s="3">
        <f t="shared" si="42"/>
        <v>0.21019444406857651</v>
      </c>
      <c r="J30" s="3">
        <f t="shared" si="42"/>
        <v>0.19101068702290075</v>
      </c>
      <c r="K30" s="3">
        <f t="shared" si="42"/>
        <v>0.15493838102079466</v>
      </c>
      <c r="L30" s="3">
        <f t="shared" si="42"/>
        <v>0.15487445656255475</v>
      </c>
      <c r="P30" s="3">
        <f>+P29/main!L2-1</f>
        <v>0.7843214915319443</v>
      </c>
      <c r="U30" s="3">
        <f t="shared" ref="U30:V30" si="43">+U15/U9</f>
        <v>0.34046392087124699</v>
      </c>
      <c r="V30" s="3">
        <f t="shared" si="43"/>
        <v>0.22856921557616719</v>
      </c>
      <c r="W30" s="3">
        <f t="shared" ref="W30:AH30" si="44">+W15/W9</f>
        <v>0.15</v>
      </c>
      <c r="X30" s="3">
        <f t="shared" si="44"/>
        <v>0.15</v>
      </c>
      <c r="Y30" s="3">
        <f t="shared" si="44"/>
        <v>0.15</v>
      </c>
      <c r="Z30" s="3">
        <f t="shared" si="44"/>
        <v>0.15</v>
      </c>
      <c r="AA30" s="3">
        <f t="shared" si="44"/>
        <v>0.15</v>
      </c>
      <c r="AB30" s="3">
        <f t="shared" si="44"/>
        <v>0.15</v>
      </c>
      <c r="AC30" s="3">
        <f t="shared" si="44"/>
        <v>0.15</v>
      </c>
      <c r="AD30" s="3">
        <f t="shared" si="44"/>
        <v>0.15</v>
      </c>
      <c r="AE30" s="3">
        <f t="shared" si="44"/>
        <v>0.15</v>
      </c>
      <c r="AF30" s="3">
        <f t="shared" si="44"/>
        <v>0.15</v>
      </c>
      <c r="AG30" s="3">
        <f t="shared" si="44"/>
        <v>0.15</v>
      </c>
      <c r="AH30" s="3">
        <f t="shared" si="44"/>
        <v>0.15</v>
      </c>
    </row>
    <row r="31" spans="1:53" x14ac:dyDescent="0.25">
      <c r="A31" t="s">
        <v>48</v>
      </c>
      <c r="B31" s="3"/>
      <c r="C31" s="3"/>
      <c r="D31" s="3"/>
      <c r="E31" s="3"/>
      <c r="F31" s="3">
        <f t="shared" ref="F31:L31" si="45">+F16/B16-1</f>
        <v>-6.2192151556156983E-2</v>
      </c>
      <c r="G31" s="3">
        <f t="shared" si="45"/>
        <v>1.3044504781017485E-2</v>
      </c>
      <c r="H31" s="3">
        <f t="shared" si="45"/>
        <v>-0.15829423857466662</v>
      </c>
      <c r="I31" s="3">
        <f t="shared" si="45"/>
        <v>-0.1673975548966512</v>
      </c>
      <c r="J31" s="3">
        <f t="shared" si="45"/>
        <v>-2.2509523259841568E-3</v>
      </c>
      <c r="K31" s="3">
        <f t="shared" si="45"/>
        <v>6.3450445726271454E-2</v>
      </c>
      <c r="L31" s="3">
        <f t="shared" si="45"/>
        <v>0.25382014028056088</v>
      </c>
      <c r="U31" s="3" t="s">
        <v>25</v>
      </c>
      <c r="V31" s="3">
        <f>+V16/U16-1</f>
        <v>-9.8076061305261364E-2</v>
      </c>
      <c r="W31" s="3">
        <f t="shared" ref="W31:AH31" si="46">+W16/V16-1</f>
        <v>6.3348685187936349E-2</v>
      </c>
      <c r="X31" s="3">
        <f t="shared" si="46"/>
        <v>0</v>
      </c>
      <c r="Y31" s="3">
        <f t="shared" si="46"/>
        <v>0</v>
      </c>
      <c r="Z31" s="3">
        <f t="shared" si="46"/>
        <v>0</v>
      </c>
      <c r="AA31" s="3">
        <f t="shared" si="46"/>
        <v>0</v>
      </c>
      <c r="AB31" s="3">
        <f t="shared" si="46"/>
        <v>0</v>
      </c>
      <c r="AC31" s="3">
        <f t="shared" si="46"/>
        <v>0</v>
      </c>
      <c r="AD31" s="3">
        <f t="shared" si="46"/>
        <v>0</v>
      </c>
      <c r="AE31" s="3">
        <f t="shared" si="46"/>
        <v>0</v>
      </c>
      <c r="AF31" s="3">
        <f t="shared" si="46"/>
        <v>0</v>
      </c>
      <c r="AG31" s="3">
        <f t="shared" si="46"/>
        <v>0</v>
      </c>
      <c r="AH31" s="3">
        <f t="shared" si="46"/>
        <v>0</v>
      </c>
    </row>
    <row r="32" spans="1:53" x14ac:dyDescent="0.25">
      <c r="A32" t="s">
        <v>49</v>
      </c>
      <c r="B32" s="3">
        <f t="shared" ref="B32:L32" si="47">+B20/B19</f>
        <v>0</v>
      </c>
      <c r="C32" s="3">
        <f t="shared" si="47"/>
        <v>0</v>
      </c>
      <c r="D32" s="3">
        <f t="shared" si="47"/>
        <v>0</v>
      </c>
      <c r="E32" s="3">
        <f t="shared" si="47"/>
        <v>0</v>
      </c>
      <c r="F32" s="3">
        <f t="shared" si="47"/>
        <v>0</v>
      </c>
      <c r="G32" s="3">
        <f t="shared" si="47"/>
        <v>0</v>
      </c>
      <c r="H32" s="3">
        <f t="shared" si="47"/>
        <v>0</v>
      </c>
      <c r="I32" s="3">
        <f t="shared" si="47"/>
        <v>0</v>
      </c>
      <c r="J32" s="3">
        <f t="shared" si="47"/>
        <v>3.233519917395794E-2</v>
      </c>
      <c r="K32" s="3">
        <f t="shared" si="47"/>
        <v>0.1056874285236116</v>
      </c>
      <c r="L32" s="3">
        <f t="shared" si="47"/>
        <v>2.2857764837138424E-2</v>
      </c>
      <c r="U32" s="3">
        <f t="shared" ref="U32:V32" si="48">+U20/U19</f>
        <v>0</v>
      </c>
      <c r="V32" s="3">
        <f t="shared" si="48"/>
        <v>0</v>
      </c>
      <c r="W32" s="3">
        <f t="shared" ref="W32:AH32" si="49">+W20/W19</f>
        <v>0.18</v>
      </c>
      <c r="X32" s="3">
        <f t="shared" si="49"/>
        <v>0.18</v>
      </c>
      <c r="Y32" s="3">
        <f t="shared" si="49"/>
        <v>0.18</v>
      </c>
      <c r="Z32" s="3">
        <f t="shared" si="49"/>
        <v>0.18</v>
      </c>
      <c r="AA32" s="3">
        <f t="shared" si="49"/>
        <v>0.18</v>
      </c>
      <c r="AB32" s="3">
        <f t="shared" si="49"/>
        <v>0.18</v>
      </c>
      <c r="AC32" s="3">
        <f t="shared" si="49"/>
        <v>0.18</v>
      </c>
      <c r="AD32" s="3">
        <f t="shared" si="49"/>
        <v>0.18</v>
      </c>
      <c r="AE32" s="3">
        <f t="shared" si="49"/>
        <v>0.18</v>
      </c>
      <c r="AF32" s="3">
        <f t="shared" si="49"/>
        <v>0.18</v>
      </c>
      <c r="AG32" s="3">
        <f t="shared" si="49"/>
        <v>0.18</v>
      </c>
      <c r="AH32" s="3">
        <f t="shared" si="49"/>
        <v>0.18</v>
      </c>
    </row>
    <row r="33" spans="1:34" x14ac:dyDescent="0.25">
      <c r="A33" t="s">
        <v>50</v>
      </c>
      <c r="B33" s="3" t="s">
        <v>25</v>
      </c>
      <c r="C33" s="3">
        <f t="shared" ref="C33:L33" si="50">+C21/B21-1</f>
        <v>-0.44958455419372334</v>
      </c>
      <c r="D33" s="3">
        <f t="shared" si="50"/>
        <v>8.1712163528594006E-2</v>
      </c>
      <c r="E33" s="3">
        <f t="shared" si="50"/>
        <v>-0.21559321198240811</v>
      </c>
      <c r="F33" s="3">
        <f t="shared" si="50"/>
        <v>-0.41863516551287216</v>
      </c>
      <c r="G33" s="3">
        <f t="shared" si="50"/>
        <v>-6.1570187067314652E-2</v>
      </c>
      <c r="H33" s="3">
        <f t="shared" si="50"/>
        <v>-1.4026055564275632</v>
      </c>
      <c r="I33" s="3">
        <f t="shared" si="50"/>
        <v>-7.8787524366471624</v>
      </c>
      <c r="J33" s="3">
        <f t="shared" si="50"/>
        <v>-2.0091815914758548</v>
      </c>
      <c r="K33" s="3">
        <f t="shared" si="50"/>
        <v>0.80062900146018245</v>
      </c>
      <c r="L33" s="3">
        <f t="shared" si="50"/>
        <v>0.11998627658910843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5">
      <c r="A34" t="s">
        <v>51</v>
      </c>
      <c r="V34" s="3">
        <f>+V21/U21-1</f>
        <v>-0.5677610576881863</v>
      </c>
      <c r="W34" s="3">
        <f t="shared" ref="W34:AH34" si="51">+W21/V21-1</f>
        <v>-5.0056170969226921</v>
      </c>
      <c r="X34" s="3">
        <f t="shared" si="51"/>
        <v>0.50290031648004141</v>
      </c>
      <c r="Y34" s="3">
        <f t="shared" si="51"/>
        <v>0.35294117647058831</v>
      </c>
      <c r="Z34" s="3">
        <f t="shared" si="51"/>
        <v>0.51365356029860854</v>
      </c>
      <c r="AA34" s="3">
        <f t="shared" si="51"/>
        <v>0.32788081683395531</v>
      </c>
      <c r="AB34" s="3">
        <f t="shared" si="51"/>
        <v>0.30101206052529061</v>
      </c>
      <c r="AC34" s="3">
        <f t="shared" si="51"/>
        <v>0.28143913644448171</v>
      </c>
      <c r="AD34" s="3">
        <f t="shared" si="51"/>
        <v>1.9190897285930042E-3</v>
      </c>
      <c r="AE34" s="3">
        <f t="shared" si="51"/>
        <v>1.2241679983397979E-3</v>
      </c>
      <c r="AF34" s="3">
        <f t="shared" si="51"/>
        <v>4.8485920430785256E-4</v>
      </c>
      <c r="AG34" s="3">
        <f t="shared" si="51"/>
        <v>-3.0279932948429344E-4</v>
      </c>
      <c r="AH34" s="3">
        <f t="shared" si="51"/>
        <v>-1.1432513807132505E-3</v>
      </c>
    </row>
    <row r="36" spans="1:34" x14ac:dyDescent="0.25">
      <c r="A36" t="s">
        <v>52</v>
      </c>
      <c r="L36">
        <f>86.707-27.535-8.865</f>
        <v>50.306999999999995</v>
      </c>
      <c r="V36">
        <f>+V37-V47</f>
        <v>50.933</v>
      </c>
      <c r="W36">
        <f t="shared" ref="W36:AH36" si="52">+V36+W21</f>
        <v>164.04762120000001</v>
      </c>
      <c r="X36">
        <f t="shared" si="52"/>
        <v>334.04762119999998</v>
      </c>
      <c r="Y36">
        <f t="shared" si="52"/>
        <v>564.04762119999998</v>
      </c>
      <c r="Z36">
        <f t="shared" si="52"/>
        <v>912.18794006867995</v>
      </c>
      <c r="AA36">
        <f t="shared" si="52"/>
        <v>1374.4767910608564</v>
      </c>
      <c r="AB36">
        <f t="shared" si="52"/>
        <v>1975.9201616480568</v>
      </c>
      <c r="AC36">
        <f t="shared" si="52"/>
        <v>2746.6332350735775</v>
      </c>
      <c r="AD36">
        <f t="shared" si="52"/>
        <v>3518.8253760420012</v>
      </c>
      <c r="AE36">
        <f t="shared" si="52"/>
        <v>4291.9628099179681</v>
      </c>
      <c r="AF36">
        <f t="shared" si="52"/>
        <v>5065.4751065949449</v>
      </c>
      <c r="AG36">
        <f t="shared" si="52"/>
        <v>5838.7531842671397</v>
      </c>
      <c r="AH36">
        <f t="shared" si="52"/>
        <v>6611.1472107093605</v>
      </c>
    </row>
    <row r="37" spans="1:34" x14ac:dyDescent="0.25">
      <c r="A37" t="s">
        <v>4</v>
      </c>
      <c r="L37">
        <v>86.706999999999994</v>
      </c>
      <c r="V37">
        <v>51.351999999999997</v>
      </c>
    </row>
    <row r="38" spans="1:34" x14ac:dyDescent="0.25">
      <c r="A38" t="s">
        <v>53</v>
      </c>
      <c r="L38">
        <v>50.14</v>
      </c>
    </row>
    <row r="39" spans="1:34" x14ac:dyDescent="0.25">
      <c r="A39" t="s">
        <v>54</v>
      </c>
      <c r="L39">
        <v>171.80099999999999</v>
      </c>
    </row>
    <row r="40" spans="1:34" x14ac:dyDescent="0.25">
      <c r="A40" t="s">
        <v>55</v>
      </c>
      <c r="L40">
        <v>9.5449999999999999</v>
      </c>
    </row>
    <row r="41" spans="1:34" x14ac:dyDescent="0.25">
      <c r="A41" t="s">
        <v>56</v>
      </c>
      <c r="L41">
        <v>53.694000000000003</v>
      </c>
      <c r="V41" t="s">
        <v>25</v>
      </c>
    </row>
    <row r="42" spans="1:34" x14ac:dyDescent="0.25">
      <c r="A42" t="s">
        <v>57</v>
      </c>
      <c r="L42">
        <f>0.485+3.53</f>
        <v>4.0149999999999997</v>
      </c>
    </row>
    <row r="43" spans="1:34" x14ac:dyDescent="0.25">
      <c r="A43" t="s">
        <v>58</v>
      </c>
      <c r="L43">
        <v>8.8970000000000002</v>
      </c>
    </row>
    <row r="44" spans="1:34" x14ac:dyDescent="0.25">
      <c r="A44" t="s">
        <v>59</v>
      </c>
      <c r="L44">
        <v>5.819</v>
      </c>
      <c r="Q44" t="s">
        <v>25</v>
      </c>
    </row>
    <row r="45" spans="1:34" x14ac:dyDescent="0.25">
      <c r="A45" t="s">
        <v>60</v>
      </c>
      <c r="L45">
        <f>+SUM(L37:L44)</f>
        <v>390.61799999999999</v>
      </c>
      <c r="V45" s="7"/>
    </row>
    <row r="47" spans="1:34" x14ac:dyDescent="0.25">
      <c r="A47" t="s">
        <v>5</v>
      </c>
      <c r="L47">
        <f>27.535+8.865</f>
        <v>36.4</v>
      </c>
      <c r="V47">
        <v>0.41899999999999998</v>
      </c>
    </row>
    <row r="48" spans="1:34" x14ac:dyDescent="0.25">
      <c r="A48" t="s">
        <v>61</v>
      </c>
      <c r="L48">
        <v>16.02</v>
      </c>
    </row>
    <row r="49" spans="1:22" x14ac:dyDescent="0.25">
      <c r="A49" t="s">
        <v>62</v>
      </c>
      <c r="L49">
        <f>0.143+1.583</f>
        <v>1.726</v>
      </c>
    </row>
    <row r="50" spans="1:22" x14ac:dyDescent="0.25">
      <c r="A50" t="s">
        <v>63</v>
      </c>
      <c r="L50">
        <v>1.1930000000000001</v>
      </c>
    </row>
    <row r="51" spans="1:22" x14ac:dyDescent="0.25">
      <c r="A51" t="s">
        <v>64</v>
      </c>
      <c r="L51">
        <v>101.32599999999999</v>
      </c>
    </row>
    <row r="52" spans="1:22" x14ac:dyDescent="0.25">
      <c r="A52" t="s">
        <v>65</v>
      </c>
      <c r="L52">
        <v>1.6879999999999999</v>
      </c>
    </row>
    <row r="53" spans="1:22" x14ac:dyDescent="0.25">
      <c r="A53" t="s">
        <v>66</v>
      </c>
      <c r="L53">
        <v>0.375</v>
      </c>
    </row>
    <row r="54" spans="1:22" x14ac:dyDescent="0.25">
      <c r="A54" t="s">
        <v>67</v>
      </c>
      <c r="L54">
        <f>+SUM(L47:L53)</f>
        <v>158.72799999999998</v>
      </c>
    </row>
    <row r="56" spans="1:22" x14ac:dyDescent="0.25">
      <c r="A56" t="s">
        <v>68</v>
      </c>
      <c r="L56">
        <f>+L45-L54</f>
        <v>231.89000000000001</v>
      </c>
    </row>
    <row r="57" spans="1:22" x14ac:dyDescent="0.25">
      <c r="A57" t="s">
        <v>69</v>
      </c>
      <c r="L57">
        <f>+L54+L56</f>
        <v>390.61799999999999</v>
      </c>
      <c r="R57">
        <v>88.9</v>
      </c>
      <c r="S57">
        <v>127.1</v>
      </c>
      <c r="T57">
        <v>276.3</v>
      </c>
      <c r="U57">
        <v>348.5</v>
      </c>
      <c r="V57">
        <v>329.2</v>
      </c>
    </row>
    <row r="58" spans="1:22" x14ac:dyDescent="0.25">
      <c r="S58" t="s">
        <v>25</v>
      </c>
    </row>
    <row r="59" spans="1:22" x14ac:dyDescent="0.25">
      <c r="A59" t="s">
        <v>70</v>
      </c>
      <c r="L59" s="3">
        <f>+L21/L45</f>
        <v>9.192868736207753E-2</v>
      </c>
    </row>
    <row r="60" spans="1:22" x14ac:dyDescent="0.25">
      <c r="A60" t="s">
        <v>71</v>
      </c>
      <c r="L60" s="3">
        <f>+L21/L56</f>
        <v>0.15485359437664409</v>
      </c>
    </row>
    <row r="63" spans="1:22" x14ac:dyDescent="0.25">
      <c r="A63" t="s">
        <v>72</v>
      </c>
    </row>
    <row r="64" spans="1:22" x14ac:dyDescent="0.25">
      <c r="A64" t="s">
        <v>73</v>
      </c>
      <c r="L64">
        <v>85.777000000000001</v>
      </c>
    </row>
    <row r="65" spans="1:23" x14ac:dyDescent="0.25">
      <c r="A65" t="s">
        <v>74</v>
      </c>
    </row>
    <row r="66" spans="1:23" x14ac:dyDescent="0.25">
      <c r="A66" t="s">
        <v>75</v>
      </c>
    </row>
    <row r="67" spans="1:23" x14ac:dyDescent="0.25">
      <c r="A67" t="s">
        <v>76</v>
      </c>
    </row>
    <row r="68" spans="1:23" x14ac:dyDescent="0.25">
      <c r="A68" t="s">
        <v>77</v>
      </c>
    </row>
    <row r="69" spans="1:23" x14ac:dyDescent="0.25">
      <c r="A69" t="s">
        <v>78</v>
      </c>
    </row>
    <row r="70" spans="1:23" x14ac:dyDescent="0.25">
      <c r="A70" t="s">
        <v>53</v>
      </c>
    </row>
    <row r="71" spans="1:23" x14ac:dyDescent="0.25">
      <c r="A71" t="s">
        <v>54</v>
      </c>
    </row>
    <row r="72" spans="1:23" x14ac:dyDescent="0.25">
      <c r="A72" t="s">
        <v>55</v>
      </c>
    </row>
    <row r="73" spans="1:23" x14ac:dyDescent="0.25">
      <c r="A73" t="s">
        <v>59</v>
      </c>
      <c r="B73" t="s">
        <v>25</v>
      </c>
    </row>
    <row r="74" spans="1:23" x14ac:dyDescent="0.25">
      <c r="A74" t="s">
        <v>61</v>
      </c>
    </row>
    <row r="75" spans="1:23" x14ac:dyDescent="0.25">
      <c r="A75" t="s">
        <v>79</v>
      </c>
    </row>
    <row r="76" spans="1:23" x14ac:dyDescent="0.25">
      <c r="A76" t="s">
        <v>80</v>
      </c>
      <c r="W76" t="s">
        <v>25</v>
      </c>
    </row>
    <row r="77" spans="1:23" x14ac:dyDescent="0.25">
      <c r="A77" t="s">
        <v>81</v>
      </c>
      <c r="F77">
        <v>-14.723000000000001</v>
      </c>
      <c r="G77">
        <v>-20.782</v>
      </c>
      <c r="H77">
        <v>-8.7970000000000006</v>
      </c>
      <c r="I77" t="s">
        <v>25</v>
      </c>
      <c r="J77">
        <v>-2.218</v>
      </c>
      <c r="K77">
        <v>43.427999999999997</v>
      </c>
      <c r="L77">
        <v>68.456000000000003</v>
      </c>
      <c r="M77" t="s">
        <v>25</v>
      </c>
      <c r="T77">
        <v>-112.369</v>
      </c>
      <c r="U77">
        <v>-59.508000000000003</v>
      </c>
      <c r="V77">
        <v>8.8000000000000007</v>
      </c>
      <c r="W77" t="s">
        <v>25</v>
      </c>
    </row>
    <row r="78" spans="1:23" x14ac:dyDescent="0.25">
      <c r="W78" t="s">
        <v>25</v>
      </c>
    </row>
    <row r="79" spans="1:23" x14ac:dyDescent="0.25">
      <c r="A79" t="s">
        <v>82</v>
      </c>
    </row>
    <row r="80" spans="1:23" x14ac:dyDescent="0.25">
      <c r="A80" t="s">
        <v>83</v>
      </c>
    </row>
    <row r="81" spans="1:25 16384:16384" x14ac:dyDescent="0.25">
      <c r="A81" t="s">
        <v>84</v>
      </c>
      <c r="F81">
        <v>-1.9450000000000001</v>
      </c>
      <c r="G81">
        <v>-2.8170000000000002</v>
      </c>
      <c r="H81">
        <v>-3.5739999999999998</v>
      </c>
      <c r="I81" t="s">
        <v>25</v>
      </c>
      <c r="J81">
        <v>-2.3620000000000001</v>
      </c>
      <c r="K81">
        <v>-4.7270000000000003</v>
      </c>
      <c r="L81">
        <v>-5.8250000000000002</v>
      </c>
      <c r="M81" t="s">
        <v>25</v>
      </c>
      <c r="T81">
        <v>-13.510999999999999</v>
      </c>
      <c r="U81">
        <v>-13.911</v>
      </c>
      <c r="V81">
        <v>-4.9809999999999999</v>
      </c>
      <c r="W81" t="s">
        <v>25</v>
      </c>
    </row>
    <row r="83" spans="1:25 16384:16384" x14ac:dyDescent="0.25">
      <c r="A83" t="s">
        <v>36</v>
      </c>
    </row>
    <row r="84" spans="1:25 16384:16384" x14ac:dyDescent="0.25">
      <c r="A84" t="s">
        <v>85</v>
      </c>
    </row>
    <row r="85" spans="1:25 16384:16384" x14ac:dyDescent="0.25">
      <c r="A85" t="s">
        <v>86</v>
      </c>
    </row>
    <row r="86" spans="1:25 16384:16384" x14ac:dyDescent="0.25">
      <c r="A86" t="s">
        <v>87</v>
      </c>
      <c r="M86" t="s">
        <v>25</v>
      </c>
    </row>
    <row r="87" spans="1:25 16384:16384" x14ac:dyDescent="0.25">
      <c r="A87" t="s">
        <v>88</v>
      </c>
      <c r="F87">
        <v>-0.65</v>
      </c>
      <c r="G87">
        <v>-0.41</v>
      </c>
      <c r="H87">
        <v>6</v>
      </c>
      <c r="I87" t="s">
        <v>25</v>
      </c>
      <c r="J87">
        <v>-1.4470000000000001</v>
      </c>
      <c r="K87">
        <v>-1.8089999999999999</v>
      </c>
      <c r="L87">
        <v>-27.276</v>
      </c>
      <c r="M87" t="s">
        <v>25</v>
      </c>
      <c r="T87">
        <v>121.048</v>
      </c>
      <c r="U87">
        <v>108.852</v>
      </c>
      <c r="V87">
        <v>-38.988999999999997</v>
      </c>
      <c r="W87" t="s">
        <v>25</v>
      </c>
    </row>
    <row r="88" spans="1:25 16384:16384" x14ac:dyDescent="0.25">
      <c r="M88" t="s">
        <v>25</v>
      </c>
      <c r="W88" t="s">
        <v>25</v>
      </c>
    </row>
    <row r="89" spans="1:25 16384:16384" x14ac:dyDescent="0.25">
      <c r="A89" t="s">
        <v>89</v>
      </c>
      <c r="F89">
        <v>-1.9450000000000001</v>
      </c>
      <c r="G89">
        <v>-2.8170000000000002</v>
      </c>
      <c r="H89">
        <f>3.574</f>
        <v>3.5739999999999998</v>
      </c>
      <c r="J89">
        <v>2.347</v>
      </c>
      <c r="K89">
        <v>4.4130000000000003</v>
      </c>
      <c r="L89">
        <v>5.4690000000000003</v>
      </c>
      <c r="M89" t="s">
        <v>25</v>
      </c>
      <c r="T89">
        <v>-13.510999999999999</v>
      </c>
      <c r="U89">
        <v>-13.911</v>
      </c>
      <c r="V89">
        <v>-4.7709999999999999</v>
      </c>
      <c r="W89" t="s">
        <v>25</v>
      </c>
    </row>
    <row r="90" spans="1:25 16384:16384" x14ac:dyDescent="0.25">
      <c r="A90" t="s">
        <v>90</v>
      </c>
      <c r="D90" t="s">
        <v>25</v>
      </c>
      <c r="E90" t="s">
        <v>25</v>
      </c>
      <c r="F90">
        <f>+F77+F81+F87-F89</f>
        <v>-15.372999999999998</v>
      </c>
      <c r="G90">
        <f>+G77+G81+G87-G89</f>
        <v>-21.192</v>
      </c>
      <c r="H90">
        <f>+H77+H81+H87-H89</f>
        <v>-9.9450000000000003</v>
      </c>
      <c r="I90" t="s">
        <v>25</v>
      </c>
      <c r="J90">
        <f>+J77+J81+J87-J89</f>
        <v>-8.3740000000000006</v>
      </c>
      <c r="K90">
        <f>+K77+K81+K87-K89</f>
        <v>32.478999999999999</v>
      </c>
      <c r="L90">
        <f>+L77+L81+L87-L89</f>
        <v>29.886000000000003</v>
      </c>
      <c r="M90" t="s">
        <v>25</v>
      </c>
      <c r="S90" t="s">
        <v>25</v>
      </c>
      <c r="T90">
        <f>+T77+T81+T87-T89</f>
        <v>8.6790000000000056</v>
      </c>
      <c r="U90" t="s">
        <v>100</v>
      </c>
      <c r="V90">
        <f>+V77+V81+V87-V89</f>
        <v>-30.398999999999994</v>
      </c>
      <c r="W90" t="s">
        <v>25</v>
      </c>
      <c r="Y90" t="s">
        <v>25</v>
      </c>
      <c r="XFD90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FB49-60AA-493C-BAC1-33C0EC99533B}">
  <dimension ref="A2:L20"/>
  <sheetViews>
    <sheetView workbookViewId="0">
      <selection activeCell="A16" sqref="A16"/>
    </sheetView>
  </sheetViews>
  <sheetFormatPr defaultRowHeight="15" x14ac:dyDescent="0.25"/>
  <sheetData>
    <row r="2" spans="1:9" x14ac:dyDescent="0.25">
      <c r="A2" t="s">
        <v>91</v>
      </c>
    </row>
    <row r="3" spans="1:9" x14ac:dyDescent="0.25">
      <c r="A3" t="s">
        <v>92</v>
      </c>
    </row>
    <row r="4" spans="1:9" x14ac:dyDescent="0.25">
      <c r="A4" t="s">
        <v>93</v>
      </c>
    </row>
    <row r="5" spans="1:9" x14ac:dyDescent="0.25">
      <c r="A5" t="s">
        <v>94</v>
      </c>
    </row>
    <row r="6" spans="1:9" x14ac:dyDescent="0.25">
      <c r="A6" t="s">
        <v>95</v>
      </c>
    </row>
    <row r="7" spans="1:9" x14ac:dyDescent="0.25">
      <c r="A7" t="s">
        <v>96</v>
      </c>
    </row>
    <row r="8" spans="1:9" x14ac:dyDescent="0.25">
      <c r="A8" t="s">
        <v>97</v>
      </c>
    </row>
    <row r="9" spans="1:9" x14ac:dyDescent="0.25">
      <c r="A9" t="s">
        <v>98</v>
      </c>
      <c r="G9" t="s">
        <v>25</v>
      </c>
    </row>
    <row r="10" spans="1:9" x14ac:dyDescent="0.25">
      <c r="G10">
        <v>4861</v>
      </c>
      <c r="H10">
        <f>+G10*0.0375</f>
        <v>182.28749999999999</v>
      </c>
    </row>
    <row r="11" spans="1:9" x14ac:dyDescent="0.25">
      <c r="G11">
        <v>36862</v>
      </c>
      <c r="H11">
        <v>334227</v>
      </c>
      <c r="I11">
        <f>+H11/100</f>
        <v>3342.27</v>
      </c>
    </row>
    <row r="12" spans="1:9" x14ac:dyDescent="0.25">
      <c r="I12">
        <f>+I11*G11</f>
        <v>123202756.73999999</v>
      </c>
    </row>
    <row r="18" spans="7:12" x14ac:dyDescent="0.25">
      <c r="G18">
        <v>4500</v>
      </c>
      <c r="I18">
        <v>190</v>
      </c>
    </row>
    <row r="19" spans="7:12" x14ac:dyDescent="0.25">
      <c r="G19">
        <v>120</v>
      </c>
      <c r="I19">
        <v>4500</v>
      </c>
      <c r="L19" s="6">
        <v>6.2888888888888883E-2</v>
      </c>
    </row>
    <row r="20" spans="7:12" x14ac:dyDescent="0.25">
      <c r="G20" s="3">
        <f>+G19/G18-1</f>
        <v>-0.97333333333333338</v>
      </c>
      <c r="I20" s="3">
        <f>+I19/I18-1</f>
        <v>22.684210526315791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main</vt:lpstr>
      <vt:lpstr>model</vt:lpstr>
      <vt:lpstr>Competitors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Simão Clemente</cp:lastModifiedBy>
  <cp:revision/>
  <dcterms:created xsi:type="dcterms:W3CDTF">2025-02-16T16:37:49Z</dcterms:created>
  <dcterms:modified xsi:type="dcterms:W3CDTF">2025-02-26T21:00:55Z</dcterms:modified>
  <cp:category/>
  <cp:contentStatus/>
</cp:coreProperties>
</file>