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Financials/Ações/"/>
    </mc:Choice>
  </mc:AlternateContent>
  <xr:revisionPtr revIDLastSave="324" documentId="8_{6A9ABFCF-78B0-47FF-89B2-D183503248F6}" xr6:coauthVersionLast="47" xr6:coauthVersionMax="47" xr10:uidLastSave="{A513CE99-C5C5-44A4-8B2F-36374162867B}"/>
  <bookViews>
    <workbookView xWindow="-108" yWindow="-108" windowWidth="23256" windowHeight="12456" activeTab="1" xr2:uid="{3DC12F6B-E02E-4CBD-872A-2B2F93BBC7A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2" l="1"/>
  <c r="T23" i="2" s="1"/>
  <c r="V7" i="2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U7" i="2"/>
  <c r="T7" i="2"/>
  <c r="U16" i="2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T16" i="2"/>
  <c r="T11" i="2"/>
  <c r="S27" i="2"/>
  <c r="R27" i="2"/>
  <c r="S12" i="2"/>
  <c r="U1" i="2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T1" i="2"/>
  <c r="T4" i="2"/>
  <c r="U4" i="2" s="1"/>
  <c r="S23" i="2"/>
  <c r="S22" i="2"/>
  <c r="S21" i="2"/>
  <c r="S16" i="2"/>
  <c r="S13" i="2"/>
  <c r="S11" i="2"/>
  <c r="S10" i="2"/>
  <c r="S24" i="2" s="1"/>
  <c r="S9" i="2"/>
  <c r="S8" i="2"/>
  <c r="S7" i="2"/>
  <c r="S6" i="2"/>
  <c r="S5" i="2"/>
  <c r="S4" i="2"/>
  <c r="S3" i="2"/>
  <c r="S2" i="2"/>
  <c r="M25" i="2"/>
  <c r="L25" i="2"/>
  <c r="K25" i="2"/>
  <c r="J25" i="2"/>
  <c r="I25" i="2"/>
  <c r="H25" i="2"/>
  <c r="G25" i="2"/>
  <c r="F25" i="2"/>
  <c r="E25" i="2"/>
  <c r="M24" i="2"/>
  <c r="L24" i="2"/>
  <c r="K24" i="2"/>
  <c r="J24" i="2"/>
  <c r="I24" i="2"/>
  <c r="H24" i="2"/>
  <c r="G24" i="2"/>
  <c r="F24" i="2"/>
  <c r="E24" i="2"/>
  <c r="M23" i="2"/>
  <c r="L23" i="2"/>
  <c r="K23" i="2"/>
  <c r="J23" i="2"/>
  <c r="I23" i="2"/>
  <c r="H23" i="2"/>
  <c r="G23" i="2"/>
  <c r="F23" i="2"/>
  <c r="E23" i="2"/>
  <c r="M22" i="2"/>
  <c r="L22" i="2"/>
  <c r="K22" i="2"/>
  <c r="J22" i="2"/>
  <c r="I22" i="2"/>
  <c r="H22" i="2"/>
  <c r="G22" i="2"/>
  <c r="F22" i="2"/>
  <c r="E22" i="2"/>
  <c r="M21" i="2"/>
  <c r="L21" i="2"/>
  <c r="K21" i="2"/>
  <c r="J21" i="2"/>
  <c r="I21" i="2"/>
  <c r="H21" i="2"/>
  <c r="G21" i="2"/>
  <c r="F21" i="2"/>
  <c r="E21" i="2"/>
  <c r="M19" i="2"/>
  <c r="L19" i="2"/>
  <c r="K19" i="2"/>
  <c r="J19" i="2"/>
  <c r="I19" i="2"/>
  <c r="M18" i="2"/>
  <c r="L18" i="2"/>
  <c r="K18" i="2"/>
  <c r="J18" i="2"/>
  <c r="I18" i="2"/>
  <c r="N25" i="2"/>
  <c r="E9" i="2"/>
  <c r="E4" i="2"/>
  <c r="E6" i="2" s="1"/>
  <c r="F11" i="2"/>
  <c r="F9" i="2"/>
  <c r="F4" i="2"/>
  <c r="F6" i="2" s="1"/>
  <c r="G11" i="2"/>
  <c r="G9" i="2"/>
  <c r="G4" i="2"/>
  <c r="G6" i="2" s="1"/>
  <c r="H11" i="2"/>
  <c r="H9" i="2"/>
  <c r="H4" i="2"/>
  <c r="H6" i="2" s="1"/>
  <c r="I11" i="2"/>
  <c r="I9" i="2"/>
  <c r="I4" i="2"/>
  <c r="I6" i="2" s="1"/>
  <c r="J11" i="2"/>
  <c r="J9" i="2"/>
  <c r="J4" i="2"/>
  <c r="J6" i="2" s="1"/>
  <c r="K11" i="2"/>
  <c r="K9" i="2"/>
  <c r="K4" i="2"/>
  <c r="K6" i="2" s="1"/>
  <c r="M11" i="2"/>
  <c r="L11" i="2"/>
  <c r="L9" i="2"/>
  <c r="L4" i="2"/>
  <c r="L6" i="2" s="1"/>
  <c r="M9" i="2"/>
  <c r="M4" i="2"/>
  <c r="M6" i="2" s="1"/>
  <c r="N11" i="2"/>
  <c r="N9" i="2"/>
  <c r="N4" i="2"/>
  <c r="N6" i="2" s="1"/>
  <c r="N10" i="2" s="1"/>
  <c r="N12" i="2" s="1"/>
  <c r="N14" i="2" s="1"/>
  <c r="M5" i="1"/>
  <c r="M4" i="1"/>
  <c r="M7" i="1" s="1"/>
  <c r="N10" i="1" s="1"/>
  <c r="V4" i="2" l="1"/>
  <c r="U6" i="2"/>
  <c r="U21" i="2" s="1"/>
  <c r="U18" i="2"/>
  <c r="T22" i="2"/>
  <c r="T6" i="2"/>
  <c r="T21" i="2" s="1"/>
  <c r="T18" i="2"/>
  <c r="U8" i="2"/>
  <c r="U9" i="2" s="1"/>
  <c r="U22" i="2"/>
  <c r="T9" i="2"/>
  <c r="N15" i="2"/>
  <c r="N18" i="2"/>
  <c r="N21" i="2"/>
  <c r="N22" i="2"/>
  <c r="L10" i="2"/>
  <c r="L12" i="2" s="1"/>
  <c r="L14" i="2" s="1"/>
  <c r="L15" i="2" s="1"/>
  <c r="N23" i="2"/>
  <c r="N24" i="2"/>
  <c r="E10" i="2"/>
  <c r="E12" i="2" s="1"/>
  <c r="E14" i="2" s="1"/>
  <c r="E15" i="2" s="1"/>
  <c r="F10" i="2"/>
  <c r="F12" i="2" s="1"/>
  <c r="F14" i="2" s="1"/>
  <c r="F15" i="2" s="1"/>
  <c r="G10" i="2"/>
  <c r="G12" i="2" s="1"/>
  <c r="G14" i="2" s="1"/>
  <c r="G15" i="2" s="1"/>
  <c r="H10" i="2"/>
  <c r="H12" i="2" s="1"/>
  <c r="H14" i="2" s="1"/>
  <c r="H15" i="2" s="1"/>
  <c r="I10" i="2"/>
  <c r="I12" i="2" s="1"/>
  <c r="I14" i="2" s="1"/>
  <c r="I15" i="2" s="1"/>
  <c r="J10" i="2"/>
  <c r="J12" i="2" s="1"/>
  <c r="J14" i="2" s="1"/>
  <c r="J15" i="2" s="1"/>
  <c r="K10" i="2"/>
  <c r="K12" i="2" s="1"/>
  <c r="K14" i="2" s="1"/>
  <c r="K15" i="2" s="1"/>
  <c r="M10" i="2"/>
  <c r="M12" i="2" s="1"/>
  <c r="M14" i="2" s="1"/>
  <c r="M15" i="2" s="1"/>
  <c r="T10" i="2" l="1"/>
  <c r="T24" i="2" s="1"/>
  <c r="W4" i="2"/>
  <c r="V6" i="2"/>
  <c r="V21" i="2" s="1"/>
  <c r="V18" i="2"/>
  <c r="V22" i="2"/>
  <c r="U10" i="2"/>
  <c r="U24" i="2" s="1"/>
  <c r="V8" i="2"/>
  <c r="U23" i="2"/>
  <c r="T12" i="2"/>
  <c r="T13" i="2" s="1"/>
  <c r="T14" i="2" s="1"/>
  <c r="W22" i="2"/>
  <c r="S25" i="2"/>
  <c r="S14" i="2"/>
  <c r="S15" i="2" s="1"/>
  <c r="N19" i="2"/>
  <c r="T25" i="2" l="1"/>
  <c r="X4" i="2"/>
  <c r="W6" i="2"/>
  <c r="W21" i="2" s="1"/>
  <c r="W18" i="2"/>
  <c r="V23" i="2"/>
  <c r="W8" i="2"/>
  <c r="V9" i="2"/>
  <c r="V10" i="2" s="1"/>
  <c r="V24" i="2" s="1"/>
  <c r="T27" i="2"/>
  <c r="U11" i="2" s="1"/>
  <c r="U12" i="2" s="1"/>
  <c r="U13" i="2" s="1"/>
  <c r="T15" i="2"/>
  <c r="T19" i="2"/>
  <c r="W9" i="2"/>
  <c r="W10" i="2" s="1"/>
  <c r="W24" i="2" s="1"/>
  <c r="Y4" i="2" l="1"/>
  <c r="Y22" i="2" s="1"/>
  <c r="X18" i="2"/>
  <c r="X6" i="2"/>
  <c r="X21" i="2" s="1"/>
  <c r="X22" i="2"/>
  <c r="W23" i="2"/>
  <c r="X8" i="2"/>
  <c r="U14" i="2"/>
  <c r="U25" i="2"/>
  <c r="X9" i="2"/>
  <c r="X10" i="2" l="1"/>
  <c r="X24" i="2" s="1"/>
  <c r="Z4" i="2"/>
  <c r="Z22" i="2" s="1"/>
  <c r="Y18" i="2"/>
  <c r="Y6" i="2"/>
  <c r="Y21" i="2" s="1"/>
  <c r="X23" i="2"/>
  <c r="Y8" i="2"/>
  <c r="U27" i="2"/>
  <c r="V11" i="2" s="1"/>
  <c r="V12" i="2" s="1"/>
  <c r="V13" i="2" s="1"/>
  <c r="U19" i="2"/>
  <c r="U15" i="2"/>
  <c r="Y9" i="2"/>
  <c r="Y10" i="2" l="1"/>
  <c r="Y24" i="2" s="1"/>
  <c r="AA4" i="2"/>
  <c r="AA22" i="2" s="1"/>
  <c r="Z6" i="2"/>
  <c r="Z21" i="2" s="1"/>
  <c r="Z18" i="2"/>
  <c r="Z8" i="2"/>
  <c r="Y23" i="2"/>
  <c r="V14" i="2"/>
  <c r="V25" i="2"/>
  <c r="Z9" i="2"/>
  <c r="Z10" i="2" s="1"/>
  <c r="Z24" i="2" s="1"/>
  <c r="AB4" i="2" l="1"/>
  <c r="AA6" i="2"/>
  <c r="AA21" i="2" s="1"/>
  <c r="AA18" i="2"/>
  <c r="AA8" i="2"/>
  <c r="Z23" i="2"/>
  <c r="AB22" i="2"/>
  <c r="V27" i="2"/>
  <c r="W11" i="2" s="1"/>
  <c r="W12" i="2" s="1"/>
  <c r="W13" i="2" s="1"/>
  <c r="V19" i="2"/>
  <c r="V15" i="2"/>
  <c r="AA9" i="2"/>
  <c r="AA10" i="2" s="1"/>
  <c r="AA24" i="2" s="1"/>
  <c r="AC4" i="2" l="1"/>
  <c r="AC22" i="2" s="1"/>
  <c r="AB6" i="2"/>
  <c r="AB21" i="2" s="1"/>
  <c r="AB18" i="2"/>
  <c r="AA23" i="2"/>
  <c r="AB8" i="2"/>
  <c r="W14" i="2"/>
  <c r="W25" i="2"/>
  <c r="AB9" i="2"/>
  <c r="AB10" i="2" s="1"/>
  <c r="AB24" i="2" s="1"/>
  <c r="AD4" i="2" l="1"/>
  <c r="AD22" i="2" s="1"/>
  <c r="AC6" i="2"/>
  <c r="AC21" i="2" s="1"/>
  <c r="AC18" i="2"/>
  <c r="AB23" i="2"/>
  <c r="AC8" i="2"/>
  <c r="W27" i="2"/>
  <c r="X11" i="2" s="1"/>
  <c r="X12" i="2" s="1"/>
  <c r="X13" i="2" s="1"/>
  <c r="W19" i="2"/>
  <c r="W15" i="2"/>
  <c r="AC9" i="2"/>
  <c r="AC10" i="2" s="1"/>
  <c r="AC24" i="2" s="1"/>
  <c r="AE4" i="2" l="1"/>
  <c r="AE22" i="2" s="1"/>
  <c r="AD6" i="2"/>
  <c r="AD21" i="2" s="1"/>
  <c r="AD18" i="2"/>
  <c r="AC23" i="2"/>
  <c r="AD8" i="2"/>
  <c r="X14" i="2"/>
  <c r="X25" i="2"/>
  <c r="AD9" i="2"/>
  <c r="AD10" i="2" s="1"/>
  <c r="AD24" i="2" s="1"/>
  <c r="AF4" i="2" l="1"/>
  <c r="AE18" i="2"/>
  <c r="AE6" i="2"/>
  <c r="AE21" i="2" s="1"/>
  <c r="AD23" i="2"/>
  <c r="AE8" i="2"/>
  <c r="AF22" i="2"/>
  <c r="X27" i="2"/>
  <c r="Y11" i="2" s="1"/>
  <c r="Y12" i="2" s="1"/>
  <c r="Y13" i="2" s="1"/>
  <c r="X19" i="2"/>
  <c r="X15" i="2"/>
  <c r="AE9" i="2"/>
  <c r="AE10" i="2" l="1"/>
  <c r="AE24" i="2" s="1"/>
  <c r="AG4" i="2"/>
  <c r="AF18" i="2"/>
  <c r="AF6" i="2"/>
  <c r="AF21" i="2" s="1"/>
  <c r="AE23" i="2"/>
  <c r="AF8" i="2"/>
  <c r="AG22" i="2"/>
  <c r="Y14" i="2"/>
  <c r="Y25" i="2"/>
  <c r="AF9" i="2"/>
  <c r="AF10" i="2" l="1"/>
  <c r="AF24" i="2" s="1"/>
  <c r="AH4" i="2"/>
  <c r="AG18" i="2"/>
  <c r="AG6" i="2"/>
  <c r="AG21" i="2" s="1"/>
  <c r="AF23" i="2"/>
  <c r="AG8" i="2"/>
  <c r="AH22" i="2"/>
  <c r="Y27" i="2"/>
  <c r="Z11" i="2" s="1"/>
  <c r="Z12" i="2" s="1"/>
  <c r="Z13" i="2" s="1"/>
  <c r="Y19" i="2"/>
  <c r="Y15" i="2"/>
  <c r="AG9" i="2"/>
  <c r="AG10" i="2" s="1"/>
  <c r="AG24" i="2" s="1"/>
  <c r="AI4" i="2" l="1"/>
  <c r="AH6" i="2"/>
  <c r="AH21" i="2" s="1"/>
  <c r="AH18" i="2"/>
  <c r="AH8" i="2"/>
  <c r="AG23" i="2"/>
  <c r="Z14" i="2"/>
  <c r="Z25" i="2"/>
  <c r="AH9" i="2"/>
  <c r="AH10" i="2" s="1"/>
  <c r="AH24" i="2" s="1"/>
  <c r="AJ4" i="2" l="1"/>
  <c r="AK4" i="2" s="1"/>
  <c r="AL4" i="2" s="1"/>
  <c r="AM4" i="2" s="1"/>
  <c r="AN4" i="2" s="1"/>
  <c r="AO4" i="2" s="1"/>
  <c r="AP4" i="2" s="1"/>
  <c r="AI18" i="2"/>
  <c r="AI6" i="2"/>
  <c r="AI21" i="2" s="1"/>
  <c r="AI22" i="2"/>
  <c r="AI8" i="2"/>
  <c r="AH23" i="2"/>
  <c r="Z27" i="2"/>
  <c r="AA11" i="2" s="1"/>
  <c r="AA12" i="2" s="1"/>
  <c r="Z19" i="2"/>
  <c r="Z15" i="2"/>
  <c r="AI23" i="2" l="1"/>
  <c r="AI9" i="2"/>
  <c r="AI10" i="2" s="1"/>
  <c r="AI24" i="2" s="1"/>
  <c r="AA13" i="2"/>
  <c r="AA25" i="2" s="1"/>
  <c r="AA14" i="2" l="1"/>
  <c r="AA19" i="2" s="1"/>
  <c r="AA27" i="2" l="1"/>
  <c r="AB11" i="2" s="1"/>
  <c r="AB12" i="2" s="1"/>
  <c r="AB13" i="2" s="1"/>
  <c r="AB14" i="2" s="1"/>
  <c r="AA15" i="2"/>
  <c r="AB25" i="2" l="1"/>
  <c r="AB27" i="2"/>
  <c r="AC11" i="2" s="1"/>
  <c r="AC12" i="2" s="1"/>
  <c r="AC13" i="2" s="1"/>
  <c r="AB15" i="2"/>
  <c r="AB19" i="2"/>
  <c r="AC14" i="2" l="1"/>
  <c r="AC25" i="2"/>
  <c r="AC27" i="2" l="1"/>
  <c r="AD11" i="2" s="1"/>
  <c r="AD12" i="2" s="1"/>
  <c r="AD13" i="2" s="1"/>
  <c r="AC19" i="2"/>
  <c r="AC15" i="2"/>
  <c r="AD14" i="2" l="1"/>
  <c r="AD25" i="2"/>
  <c r="AD27" i="2" l="1"/>
  <c r="AE11" i="2" s="1"/>
  <c r="AE12" i="2" s="1"/>
  <c r="AD19" i="2"/>
  <c r="AD15" i="2"/>
  <c r="AE13" i="2" l="1"/>
  <c r="AE25" i="2" s="1"/>
  <c r="AE14" i="2" l="1"/>
  <c r="AE27" i="2" l="1"/>
  <c r="AF11" i="2" s="1"/>
  <c r="AF12" i="2" s="1"/>
  <c r="AF13" i="2" s="1"/>
  <c r="AE19" i="2"/>
  <c r="AE15" i="2"/>
  <c r="AF14" i="2" l="1"/>
  <c r="AF25" i="2"/>
  <c r="AF27" i="2" l="1"/>
  <c r="AG11" i="2" s="1"/>
  <c r="AG12" i="2" s="1"/>
  <c r="AG13" i="2" s="1"/>
  <c r="AF19" i="2"/>
  <c r="AF15" i="2"/>
  <c r="AG14" i="2" l="1"/>
  <c r="AG25" i="2"/>
  <c r="AG27" i="2" l="1"/>
  <c r="AH11" i="2" s="1"/>
  <c r="AH12" i="2" s="1"/>
  <c r="AH13" i="2" s="1"/>
  <c r="AG19" i="2"/>
  <c r="AG15" i="2"/>
  <c r="AH14" i="2" l="1"/>
  <c r="AH25" i="2"/>
  <c r="AH27" i="2" l="1"/>
  <c r="AI11" i="2" s="1"/>
  <c r="AI12" i="2" s="1"/>
  <c r="AI13" i="2" s="1"/>
  <c r="AH19" i="2"/>
  <c r="AH15" i="2"/>
  <c r="AI14" i="2" l="1"/>
  <c r="AI25" i="2"/>
  <c r="AI27" i="2" l="1"/>
  <c r="AI19" i="2"/>
  <c r="AI15" i="2"/>
  <c r="AJ14" i="2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Q22" i="2" s="1"/>
  <c r="Q23" i="2" s="1"/>
  <c r="Q24" i="2" s="1"/>
  <c r="Q25" i="2" s="1"/>
</calcChain>
</file>

<file path=xl/sharedStrings.xml><?xml version="1.0" encoding="utf-8"?>
<sst xmlns="http://schemas.openxmlformats.org/spreadsheetml/2006/main" count="53" uniqueCount="52">
  <si>
    <t>ARM</t>
  </si>
  <si>
    <t>Price</t>
  </si>
  <si>
    <t>Shares</t>
  </si>
  <si>
    <t>MC</t>
  </si>
  <si>
    <t xml:space="preserve">Cash </t>
  </si>
  <si>
    <t>Debt</t>
  </si>
  <si>
    <t>EV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</si>
  <si>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</si>
  <si>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</si>
  <si>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</si>
  <si>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</si>
  <si>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</si>
  <si>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</si>
  <si>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</si>
  <si>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</si>
  <si>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</si>
  <si>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</si>
  <si>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</si>
  <si>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</si>
  <si>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</si>
  <si>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External Customers</t>
  </si>
  <si>
    <t>Related Prties</t>
  </si>
  <si>
    <t>Revenue</t>
  </si>
  <si>
    <t>CoS</t>
  </si>
  <si>
    <t>Gross Profit</t>
  </si>
  <si>
    <t>RD</t>
  </si>
  <si>
    <t>SGA</t>
  </si>
  <si>
    <t>OPEX</t>
  </si>
  <si>
    <t>Operating Profit</t>
  </si>
  <si>
    <t>Interest Income</t>
  </si>
  <si>
    <t>Taxes</t>
  </si>
  <si>
    <t>Net income</t>
  </si>
  <si>
    <t>EPS</t>
  </si>
  <si>
    <t>Revenue y/y</t>
  </si>
  <si>
    <t>Gross %</t>
  </si>
  <si>
    <t>RD %</t>
  </si>
  <si>
    <t>SGA %</t>
  </si>
  <si>
    <t>Operating %</t>
  </si>
  <si>
    <t>NC</t>
  </si>
  <si>
    <t>NI y/y</t>
  </si>
  <si>
    <t>Pretaxe</t>
  </si>
  <si>
    <t>Taxe rate</t>
  </si>
  <si>
    <t>ROIC</t>
  </si>
  <si>
    <t>Terminal</t>
  </si>
  <si>
    <t>MR</t>
  </si>
  <si>
    <t>DR</t>
  </si>
  <si>
    <t>NPV</t>
  </si>
  <si>
    <t>TV</t>
  </si>
  <si>
    <t>Per share</t>
  </si>
  <si>
    <t>Ratio</t>
  </si>
  <si>
    <t xml:space="preserve"> </t>
  </si>
  <si>
    <t>EV/E24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</si>
</sst>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3" formatCode="_-* #,##0.00_-;\-* #,##0.00_-;_-* &quot;-&quot;??_-;_-@_-"/>
    <numFmt numFmtId="164" formatCode="#,##0.000000000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3" fontId="0" fillId="0" borderId="0" xfId="0" applyNumberFormat="1"/>
    <xf numFmtId="0" fontId="0" fillId="0" borderId="0" xfId="0" applyFont="1"/>
    <xf numFmtId="9" fontId="0" fillId="0" borderId="0" xfId="0" applyNumberFormat="1"/>
    <xf numFmtId="43" fontId="0" fillId="0" borderId="0" xfId="1" applyFont="1"/>
    <xf numFmtId="8" fontId="0" fillId="0" borderId="0" xfId="0" applyNumberFormat="1"/>
    <xf numFmtId="16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887D5-212D-42E5-9BFB-B6A417C1C0DB}">
  <dimension ref="B2:N10"/>
  <sheetViews>
    <sheetView topLeftCell="E1" workbookViewId="0">
      <selection activeCell="N10" sqref="N10"/>
    </sheetView>
  </sheetViews>
  <sheetFormatPr defaultRowHeight="13.8" x14ac:dyDescent="0.25"/>
  <sheetData>
    <row r="2" spans="2:14" x14ac:dyDescent="0.25">
      <c r="B2" s="2" t="s">
        <v>0</v>
      </c>
      <c r="L2" t="s">
        <v>1</v>
      </c>
      <c r="M2" s="4">
        <v>150</v>
      </c>
    </row>
    <row r="3" spans="2:14" x14ac:dyDescent="0.25">
      <c r="J3" s="3"/>
      <c r="L3" t="s">
        <v>2</v>
      </c>
      <c r="M3" s="4">
        <v>1044</v>
      </c>
    </row>
    <row r="4" spans="2:14" x14ac:dyDescent="0.25">
      <c r="L4" t="s">
        <v>3</v>
      </c>
      <c r="M4" s="4">
        <f>+M2*M3</f>
        <v>156600</v>
      </c>
    </row>
    <row r="5" spans="2:14" x14ac:dyDescent="0.25">
      <c r="L5" t="s">
        <v>4</v>
      </c>
      <c r="M5" s="4">
        <f>1465+1000</f>
        <v>2465</v>
      </c>
    </row>
    <row r="6" spans="2:14" x14ac:dyDescent="0.25">
      <c r="L6" t="s">
        <v>5</v>
      </c>
      <c r="M6" s="4">
        <v>0</v>
      </c>
    </row>
    <row r="7" spans="2:14" x14ac:dyDescent="0.25">
      <c r="L7" t="s">
        <v>6</v>
      </c>
      <c r="M7" s="4">
        <f>+M4-M5+M6</f>
        <v>154135</v>
      </c>
    </row>
    <row r="10" spans="2:14" x14ac:dyDescent="0.25">
      <c r="M10" t="s">
        <v>51</v>
      </c>
      <c r="N10">
        <f>+M7/model!S14</f>
        <v>490.87579617834393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3FEE-1F38-4523-830A-ECEE50A92C1C}">
  <dimension ref="A1:BE27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S11" sqref="S11"/>
    </sheetView>
  </sheetViews>
  <sheetFormatPr defaultRowHeight="13.8" x14ac:dyDescent="0.25"/>
  <cols>
    <col min="1" max="1" width="16.59765625" bestFit="1" customWidth="1"/>
    <col min="17" max="17" width="18.09765625" bestFit="1" customWidth="1"/>
  </cols>
  <sheetData>
    <row r="1" spans="1:57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S1">
        <v>2024</v>
      </c>
      <c r="T1">
        <f>+S1+1</f>
        <v>2025</v>
      </c>
      <c r="U1">
        <f t="shared" ref="U1:AP1" si="0">+T1+1</f>
        <v>2026</v>
      </c>
      <c r="V1">
        <f t="shared" si="0"/>
        <v>2027</v>
      </c>
      <c r="W1">
        <f t="shared" si="0"/>
        <v>2028</v>
      </c>
      <c r="X1">
        <f t="shared" si="0"/>
        <v>2029</v>
      </c>
      <c r="Y1">
        <f t="shared" si="0"/>
        <v>2030</v>
      </c>
      <c r="Z1">
        <f t="shared" si="0"/>
        <v>2031</v>
      </c>
      <c r="AA1">
        <f t="shared" si="0"/>
        <v>2032</v>
      </c>
      <c r="AB1">
        <f t="shared" si="0"/>
        <v>2033</v>
      </c>
      <c r="AC1">
        <f t="shared" si="0"/>
        <v>2034</v>
      </c>
      <c r="AD1">
        <f t="shared" si="0"/>
        <v>2035</v>
      </c>
      <c r="AE1">
        <f t="shared" si="0"/>
        <v>2036</v>
      </c>
      <c r="AF1">
        <f t="shared" si="0"/>
        <v>2037</v>
      </c>
      <c r="AG1">
        <f t="shared" si="0"/>
        <v>2038</v>
      </c>
      <c r="AH1">
        <f t="shared" si="0"/>
        <v>2039</v>
      </c>
      <c r="AI1">
        <f t="shared" si="0"/>
        <v>2040</v>
      </c>
    </row>
    <row r="2" spans="1:57" x14ac:dyDescent="0.25">
      <c r="A2" t="s">
        <v>20</v>
      </c>
      <c r="E2">
        <v>521</v>
      </c>
      <c r="F2">
        <v>524</v>
      </c>
      <c r="G2">
        <v>469</v>
      </c>
      <c r="H2">
        <v>533</v>
      </c>
      <c r="I2">
        <v>499</v>
      </c>
      <c r="J2">
        <v>535</v>
      </c>
      <c r="K2">
        <v>644</v>
      </c>
      <c r="L2">
        <v>576</v>
      </c>
      <c r="M2">
        <v>754</v>
      </c>
      <c r="N2">
        <v>815</v>
      </c>
      <c r="S2">
        <f>SUM(J2:M2)</f>
        <v>2509</v>
      </c>
    </row>
    <row r="3" spans="1:57" x14ac:dyDescent="0.25">
      <c r="A3" t="s">
        <v>21</v>
      </c>
      <c r="E3">
        <v>136</v>
      </c>
      <c r="F3">
        <v>168</v>
      </c>
      <c r="G3">
        <v>161</v>
      </c>
      <c r="H3">
        <v>191</v>
      </c>
      <c r="I3">
        <v>134</v>
      </c>
      <c r="J3">
        <v>140</v>
      </c>
      <c r="K3">
        <v>162</v>
      </c>
      <c r="L3">
        <v>248</v>
      </c>
      <c r="M3">
        <v>174</v>
      </c>
      <c r="N3">
        <v>124</v>
      </c>
      <c r="S3">
        <f>SUM(J3:M3)</f>
        <v>724</v>
      </c>
    </row>
    <row r="4" spans="1:57" s="1" customFormat="1" x14ac:dyDescent="0.25">
      <c r="A4" s="1" t="s">
        <v>22</v>
      </c>
      <c r="E4" s="1">
        <f>+E2+E3</f>
        <v>657</v>
      </c>
      <c r="F4" s="1">
        <f>+F2+F3</f>
        <v>692</v>
      </c>
      <c r="G4" s="1">
        <f>+G2+G3</f>
        <v>630</v>
      </c>
      <c r="H4" s="1">
        <f>+H2+H3</f>
        <v>724</v>
      </c>
      <c r="I4" s="1">
        <f>+I2+I3</f>
        <v>633</v>
      </c>
      <c r="J4" s="1">
        <f>+J2+J3</f>
        <v>675</v>
      </c>
      <c r="K4" s="1">
        <f>+K2+K3</f>
        <v>806</v>
      </c>
      <c r="L4" s="1">
        <f>+L2+L3</f>
        <v>824</v>
      </c>
      <c r="M4" s="1">
        <f>+M2+M3</f>
        <v>928</v>
      </c>
      <c r="N4" s="1">
        <f>+N2+N3</f>
        <v>939</v>
      </c>
      <c r="S4" s="1">
        <f>+S2+S3</f>
        <v>3233</v>
      </c>
      <c r="T4" s="1">
        <f>+S4*(1+$Q$20)</f>
        <v>3717.95</v>
      </c>
      <c r="U4" s="1">
        <f t="shared" ref="U4:AP4" si="1">+T4*(1+$Q$20)</f>
        <v>4275.642499999999</v>
      </c>
      <c r="V4" s="1">
        <f t="shared" si="1"/>
        <v>4916.9888749999982</v>
      </c>
      <c r="W4" s="1">
        <f t="shared" si="1"/>
        <v>5654.5372062499973</v>
      </c>
      <c r="X4" s="1">
        <f t="shared" si="1"/>
        <v>6502.7177871874965</v>
      </c>
      <c r="Y4" s="1">
        <f t="shared" si="1"/>
        <v>7478.1254552656201</v>
      </c>
      <c r="Z4" s="1">
        <f t="shared" si="1"/>
        <v>8599.8442735554618</v>
      </c>
      <c r="AA4" s="1">
        <f t="shared" si="1"/>
        <v>9889.8209145887795</v>
      </c>
      <c r="AB4" s="1">
        <f t="shared" si="1"/>
        <v>11373.294051777095</v>
      </c>
      <c r="AC4" s="1">
        <f t="shared" si="1"/>
        <v>13079.288159543657</v>
      </c>
      <c r="AD4" s="1">
        <f t="shared" si="1"/>
        <v>15041.181383475205</v>
      </c>
      <c r="AE4" s="1">
        <f t="shared" si="1"/>
        <v>17297.358590996486</v>
      </c>
      <c r="AF4" s="1">
        <f t="shared" si="1"/>
        <v>19891.962379645956</v>
      </c>
      <c r="AG4" s="1">
        <f t="shared" si="1"/>
        <v>22875.756736592848</v>
      </c>
      <c r="AH4" s="1">
        <f t="shared" si="1"/>
        <v>26307.120247081773</v>
      </c>
      <c r="AI4" s="1">
        <f t="shared" si="1"/>
        <v>30253.188284144038</v>
      </c>
      <c r="AJ4" s="1">
        <f t="shared" si="1"/>
        <v>34791.166526765643</v>
      </c>
      <c r="AK4" s="1">
        <f t="shared" si="1"/>
        <v>40009.841505780489</v>
      </c>
      <c r="AL4" s="1">
        <f t="shared" si="1"/>
        <v>46011.317731647556</v>
      </c>
      <c r="AM4" s="1">
        <f t="shared" si="1"/>
        <v>52913.015391394685</v>
      </c>
      <c r="AN4" s="1">
        <f t="shared" si="1"/>
        <v>60849.96770010388</v>
      </c>
      <c r="AO4" s="1">
        <f t="shared" si="1"/>
        <v>69977.462855119462</v>
      </c>
      <c r="AP4" s="1">
        <f t="shared" si="1"/>
        <v>80474.082283387368</v>
      </c>
    </row>
    <row r="5" spans="1:57" x14ac:dyDescent="0.25">
      <c r="A5" t="s">
        <v>23</v>
      </c>
      <c r="E5">
        <v>37</v>
      </c>
      <c r="F5">
        <v>25</v>
      </c>
      <c r="G5">
        <v>25</v>
      </c>
      <c r="H5">
        <v>29</v>
      </c>
      <c r="I5">
        <v>27</v>
      </c>
      <c r="J5">
        <v>31</v>
      </c>
      <c r="K5">
        <v>46</v>
      </c>
      <c r="L5">
        <v>36</v>
      </c>
      <c r="M5">
        <v>41</v>
      </c>
      <c r="N5">
        <v>33</v>
      </c>
      <c r="S5">
        <f>SUM(J5:M5)</f>
        <v>154</v>
      </c>
    </row>
    <row r="6" spans="1:57" s="1" customFormat="1" x14ac:dyDescent="0.25">
      <c r="A6" s="1" t="s">
        <v>24</v>
      </c>
      <c r="E6" s="1">
        <f>+E4-E5</f>
        <v>620</v>
      </c>
      <c r="F6" s="1">
        <f>+F4-F5</f>
        <v>667</v>
      </c>
      <c r="G6" s="1">
        <f>+G4-G5</f>
        <v>605</v>
      </c>
      <c r="H6" s="1">
        <f>+H4-H5</f>
        <v>695</v>
      </c>
      <c r="I6" s="1">
        <f>+I4-I5</f>
        <v>606</v>
      </c>
      <c r="J6" s="1">
        <f>+J4-J5</f>
        <v>644</v>
      </c>
      <c r="K6" s="1">
        <f>+K4-K5</f>
        <v>760</v>
      </c>
      <c r="L6" s="1">
        <f>+L4-L5</f>
        <v>788</v>
      </c>
      <c r="M6" s="1">
        <f>+M4-M5</f>
        <v>887</v>
      </c>
      <c r="N6" s="1">
        <f>+N4-N5</f>
        <v>906</v>
      </c>
      <c r="R6" s="1" t="s">
        <v>50</v>
      </c>
      <c r="S6" s="1">
        <f>+S4-S5</f>
        <v>3079</v>
      </c>
      <c r="T6" s="1">
        <f>+T4*0.95</f>
        <v>3532.0524999999998</v>
      </c>
      <c r="U6" s="1">
        <f t="shared" ref="U6:AI6" si="2">+U4*0.95</f>
        <v>4061.8603749999988</v>
      </c>
      <c r="V6" s="1">
        <f t="shared" si="2"/>
        <v>4671.1394312499979</v>
      </c>
      <c r="W6" s="1">
        <f t="shared" si="2"/>
        <v>5371.810345937497</v>
      </c>
      <c r="X6" s="1">
        <f t="shared" si="2"/>
        <v>6177.5818978281213</v>
      </c>
      <c r="Y6" s="1">
        <f t="shared" si="2"/>
        <v>7104.2191825023383</v>
      </c>
      <c r="Z6" s="1">
        <f t="shared" si="2"/>
        <v>8169.8520598776886</v>
      </c>
      <c r="AA6" s="1">
        <f t="shared" si="2"/>
        <v>9395.3298688593404</v>
      </c>
      <c r="AB6" s="1">
        <f t="shared" si="2"/>
        <v>10804.629349188239</v>
      </c>
      <c r="AC6" s="1">
        <f t="shared" si="2"/>
        <v>12425.323751566473</v>
      </c>
      <c r="AD6" s="1">
        <f t="shared" si="2"/>
        <v>14289.122314301443</v>
      </c>
      <c r="AE6" s="1">
        <f t="shared" si="2"/>
        <v>16432.49066144666</v>
      </c>
      <c r="AF6" s="1">
        <f t="shared" si="2"/>
        <v>18897.364260663657</v>
      </c>
      <c r="AG6" s="1">
        <f t="shared" si="2"/>
        <v>21731.968899763204</v>
      </c>
      <c r="AH6" s="1">
        <f t="shared" si="2"/>
        <v>24991.764234727685</v>
      </c>
      <c r="AI6" s="1">
        <f t="shared" si="2"/>
        <v>28740.528869936836</v>
      </c>
    </row>
    <row r="7" spans="1:57" x14ac:dyDescent="0.25">
      <c r="A7" t="s">
        <v>25</v>
      </c>
      <c r="E7">
        <v>341</v>
      </c>
      <c r="F7">
        <v>218</v>
      </c>
      <c r="G7">
        <v>248</v>
      </c>
      <c r="H7">
        <v>286</v>
      </c>
      <c r="I7">
        <v>381</v>
      </c>
      <c r="J7">
        <v>337</v>
      </c>
      <c r="K7">
        <v>626</v>
      </c>
      <c r="L7">
        <v>432</v>
      </c>
      <c r="M7">
        <v>584</v>
      </c>
      <c r="N7">
        <v>485</v>
      </c>
      <c r="S7">
        <f t="shared" ref="S7:S8" si="3">SUM(J7:M7)</f>
        <v>1979</v>
      </c>
      <c r="T7">
        <f>+S7*1.03</f>
        <v>2038.3700000000001</v>
      </c>
      <c r="U7">
        <f t="shared" ref="U7:AI7" si="4">+T7*1.03</f>
        <v>2099.5211000000004</v>
      </c>
      <c r="V7">
        <f t="shared" si="4"/>
        <v>2162.5067330000006</v>
      </c>
      <c r="W7">
        <f t="shared" si="4"/>
        <v>2227.3819349900009</v>
      </c>
      <c r="X7">
        <f t="shared" si="4"/>
        <v>2294.203393039701</v>
      </c>
      <c r="Y7">
        <f t="shared" si="4"/>
        <v>2363.029494830892</v>
      </c>
      <c r="Z7">
        <f t="shared" si="4"/>
        <v>2433.9203796758188</v>
      </c>
      <c r="AA7">
        <f t="shared" si="4"/>
        <v>2506.9379910660937</v>
      </c>
      <c r="AB7">
        <f t="shared" si="4"/>
        <v>2582.1461307980767</v>
      </c>
      <c r="AC7">
        <f t="shared" si="4"/>
        <v>2659.6105147220192</v>
      </c>
      <c r="AD7">
        <f t="shared" si="4"/>
        <v>2739.39883016368</v>
      </c>
      <c r="AE7">
        <f t="shared" si="4"/>
        <v>2821.5807950685903</v>
      </c>
      <c r="AF7">
        <f t="shared" si="4"/>
        <v>2906.228218920648</v>
      </c>
      <c r="AG7">
        <f t="shared" si="4"/>
        <v>2993.4150654882674</v>
      </c>
      <c r="AH7">
        <f t="shared" si="4"/>
        <v>3083.2175174529157</v>
      </c>
      <c r="AI7">
        <f t="shared" si="4"/>
        <v>3175.7140429765032</v>
      </c>
    </row>
    <row r="8" spans="1:57" s="5" customFormat="1" x14ac:dyDescent="0.25">
      <c r="A8" s="5" t="s">
        <v>26</v>
      </c>
      <c r="E8" s="5">
        <v>321</v>
      </c>
      <c r="F8" s="5">
        <v>153</v>
      </c>
      <c r="G8" s="5">
        <v>172</v>
      </c>
      <c r="H8" s="5">
        <v>163</v>
      </c>
      <c r="I8" s="5">
        <v>274</v>
      </c>
      <c r="J8" s="5">
        <v>196</v>
      </c>
      <c r="K8" s="5">
        <v>290</v>
      </c>
      <c r="L8" s="5">
        <v>216</v>
      </c>
      <c r="M8" s="5">
        <v>281</v>
      </c>
      <c r="N8" s="5">
        <v>239</v>
      </c>
      <c r="S8">
        <f t="shared" si="3"/>
        <v>983</v>
      </c>
      <c r="T8">
        <f t="shared" ref="T8:AI8" si="5">+S8*1.03</f>
        <v>1012.49</v>
      </c>
      <c r="U8">
        <f t="shared" si="5"/>
        <v>1042.8647000000001</v>
      </c>
      <c r="V8">
        <f t="shared" si="5"/>
        <v>1074.1506410000002</v>
      </c>
      <c r="W8">
        <f t="shared" si="5"/>
        <v>1106.3751602300001</v>
      </c>
      <c r="X8">
        <f t="shared" si="5"/>
        <v>1139.5664150369003</v>
      </c>
      <c r="Y8">
        <f t="shared" si="5"/>
        <v>1173.7534074880073</v>
      </c>
      <c r="Z8">
        <f t="shared" si="5"/>
        <v>1208.9660097126475</v>
      </c>
      <c r="AA8">
        <f t="shared" si="5"/>
        <v>1245.2349900040269</v>
      </c>
      <c r="AB8">
        <f t="shared" si="5"/>
        <v>1282.5920397041477</v>
      </c>
      <c r="AC8">
        <f t="shared" si="5"/>
        <v>1321.0698008952722</v>
      </c>
      <c r="AD8">
        <f t="shared" si="5"/>
        <v>1360.7018949221304</v>
      </c>
      <c r="AE8">
        <f t="shared" si="5"/>
        <v>1401.5229517697942</v>
      </c>
      <c r="AF8">
        <f t="shared" si="5"/>
        <v>1443.5686403228881</v>
      </c>
      <c r="AG8">
        <f t="shared" si="5"/>
        <v>1486.8756995325748</v>
      </c>
      <c r="AH8">
        <f t="shared" si="5"/>
        <v>1531.4819705185521</v>
      </c>
      <c r="AI8">
        <f t="shared" si="5"/>
        <v>1577.4264296341087</v>
      </c>
    </row>
    <row r="9" spans="1:57" x14ac:dyDescent="0.25">
      <c r="A9" t="s">
        <v>27</v>
      </c>
      <c r="E9">
        <f>+E7+E8</f>
        <v>662</v>
      </c>
      <c r="F9">
        <f>+F7+F8</f>
        <v>371</v>
      </c>
      <c r="G9">
        <f>+G7+G8</f>
        <v>420</v>
      </c>
      <c r="H9">
        <f>+H7+H8</f>
        <v>449</v>
      </c>
      <c r="I9">
        <f>+I7+I8</f>
        <v>655</v>
      </c>
      <c r="J9">
        <f>+J7+J8</f>
        <v>533</v>
      </c>
      <c r="K9">
        <f>+K7+K8</f>
        <v>916</v>
      </c>
      <c r="L9">
        <f>+L7+L8</f>
        <v>648</v>
      </c>
      <c r="M9">
        <f>+M7+M8</f>
        <v>865</v>
      </c>
      <c r="N9">
        <f>+N7+N8</f>
        <v>724</v>
      </c>
      <c r="S9">
        <f>+S7+S8</f>
        <v>2962</v>
      </c>
      <c r="T9">
        <f t="shared" ref="T9:AI9" si="6">+T7+T8</f>
        <v>3050.86</v>
      </c>
      <c r="U9">
        <f t="shared" si="6"/>
        <v>3142.3858000000005</v>
      </c>
      <c r="V9">
        <f t="shared" si="6"/>
        <v>3236.6573740000008</v>
      </c>
      <c r="W9">
        <f t="shared" si="6"/>
        <v>3333.7570952200012</v>
      </c>
      <c r="X9">
        <f t="shared" si="6"/>
        <v>3433.7698080766013</v>
      </c>
      <c r="Y9">
        <f t="shared" si="6"/>
        <v>3536.7829023188992</v>
      </c>
      <c r="Z9">
        <f t="shared" si="6"/>
        <v>3642.8863893884663</v>
      </c>
      <c r="AA9">
        <f t="shared" si="6"/>
        <v>3752.1729810701208</v>
      </c>
      <c r="AB9">
        <f t="shared" si="6"/>
        <v>3864.7381705022244</v>
      </c>
      <c r="AC9">
        <f t="shared" si="6"/>
        <v>3980.6803156172914</v>
      </c>
      <c r="AD9">
        <f t="shared" si="6"/>
        <v>4100.1007250858102</v>
      </c>
      <c r="AE9">
        <f t="shared" si="6"/>
        <v>4223.1037468383847</v>
      </c>
      <c r="AF9">
        <f t="shared" si="6"/>
        <v>4349.7968592435363</v>
      </c>
      <c r="AG9">
        <f t="shared" si="6"/>
        <v>4480.2907650208417</v>
      </c>
      <c r="AH9">
        <f t="shared" si="6"/>
        <v>4614.6994879714675</v>
      </c>
      <c r="AI9">
        <f t="shared" si="6"/>
        <v>4753.1404726106121</v>
      </c>
    </row>
    <row r="10" spans="1:57" s="1" customFormat="1" x14ac:dyDescent="0.25">
      <c r="A10" s="1" t="s">
        <v>28</v>
      </c>
      <c r="E10" s="1">
        <f>+E6-E9</f>
        <v>-42</v>
      </c>
      <c r="F10" s="1">
        <f>+F6-F9</f>
        <v>296</v>
      </c>
      <c r="G10" s="1">
        <f>+G6-G9</f>
        <v>185</v>
      </c>
      <c r="H10" s="1">
        <f>+H6-H9</f>
        <v>246</v>
      </c>
      <c r="I10" s="1">
        <f>+I6-I9</f>
        <v>-49</v>
      </c>
      <c r="J10" s="1">
        <f>+J6-J9</f>
        <v>111</v>
      </c>
      <c r="K10" s="1">
        <f>+K6-K9</f>
        <v>-156</v>
      </c>
      <c r="L10" s="1">
        <f>+L6-L9</f>
        <v>140</v>
      </c>
      <c r="M10" s="1">
        <f>+M6-M9</f>
        <v>22</v>
      </c>
      <c r="N10" s="1">
        <f>+N6-N9</f>
        <v>182</v>
      </c>
      <c r="S10" s="1">
        <f>+S6-S9</f>
        <v>117</v>
      </c>
      <c r="T10" s="1">
        <f t="shared" ref="T10:AI10" si="7">+T6-T9</f>
        <v>481.19249999999965</v>
      </c>
      <c r="U10" s="1">
        <f t="shared" si="7"/>
        <v>919.47457499999837</v>
      </c>
      <c r="V10" s="1">
        <f t="shared" si="7"/>
        <v>1434.4820572499971</v>
      </c>
      <c r="W10" s="1">
        <f t="shared" si="7"/>
        <v>2038.0532507174958</v>
      </c>
      <c r="X10" s="1">
        <f t="shared" si="7"/>
        <v>2743.81208975152</v>
      </c>
      <c r="Y10" s="1">
        <f t="shared" si="7"/>
        <v>3567.4362801834391</v>
      </c>
      <c r="Z10" s="1">
        <f t="shared" si="7"/>
        <v>4526.9656704892222</v>
      </c>
      <c r="AA10" s="1">
        <f t="shared" si="7"/>
        <v>5643.1568877892196</v>
      </c>
      <c r="AB10" s="1">
        <f t="shared" si="7"/>
        <v>6939.8911786860144</v>
      </c>
      <c r="AC10" s="1">
        <f t="shared" si="7"/>
        <v>8444.6434359491814</v>
      </c>
      <c r="AD10" s="1">
        <f t="shared" si="7"/>
        <v>10189.021589215634</v>
      </c>
      <c r="AE10" s="1">
        <f t="shared" si="7"/>
        <v>12209.386914608276</v>
      </c>
      <c r="AF10" s="1">
        <f t="shared" si="7"/>
        <v>14547.567401420121</v>
      </c>
      <c r="AG10" s="1">
        <f t="shared" si="7"/>
        <v>17251.67813474236</v>
      </c>
      <c r="AH10" s="1">
        <f t="shared" si="7"/>
        <v>20377.064746756216</v>
      </c>
      <c r="AI10" s="1">
        <f t="shared" si="7"/>
        <v>23987.388397326224</v>
      </c>
    </row>
    <row r="11" spans="1:57" x14ac:dyDescent="0.25">
      <c r="A11" t="s">
        <v>29</v>
      </c>
      <c r="E11">
        <v>2</v>
      </c>
      <c r="F11">
        <f>2+4</f>
        <v>6</v>
      </c>
      <c r="G11">
        <f>6+23</f>
        <v>29</v>
      </c>
      <c r="H11">
        <f>13-23</f>
        <v>-10</v>
      </c>
      <c r="I11">
        <f>35+21</f>
        <v>56</v>
      </c>
      <c r="J11">
        <f>24-1</f>
        <v>23</v>
      </c>
      <c r="K11">
        <f>28+14</f>
        <v>42</v>
      </c>
      <c r="L11">
        <f>28-15</f>
        <v>13</v>
      </c>
      <c r="M11">
        <f>30+13</f>
        <v>43</v>
      </c>
      <c r="N11">
        <f>24+32+6</f>
        <v>62</v>
      </c>
      <c r="S11">
        <f t="shared" ref="S11:S13" si="8">SUM(J11:M11)</f>
        <v>121</v>
      </c>
      <c r="T11">
        <f>+S27*$Q$19</f>
        <v>27.79</v>
      </c>
      <c r="U11">
        <f t="shared" ref="U11:AI11" si="9">+T27*$Q$19</f>
        <v>32.472639000000001</v>
      </c>
      <c r="V11">
        <f t="shared" si="9"/>
        <v>40.088216711999983</v>
      </c>
      <c r="W11">
        <f t="shared" si="9"/>
        <v>51.88477890369596</v>
      </c>
      <c r="X11">
        <f t="shared" si="9"/>
        <v>68.604283140665501</v>
      </c>
      <c r="Y11">
        <f t="shared" si="9"/>
        <v>91.103614123802984</v>
      </c>
      <c r="Z11">
        <f t="shared" si="9"/>
        <v>120.37193327826091</v>
      </c>
      <c r="AA11">
        <f t="shared" si="9"/>
        <v>157.55063410840077</v>
      </c>
      <c r="AB11">
        <f t="shared" si="9"/>
        <v>203.95629428358174</v>
      </c>
      <c r="AC11">
        <f t="shared" si="9"/>
        <v>261.10707406733849</v>
      </c>
      <c r="AD11">
        <f t="shared" si="9"/>
        <v>330.75307814747066</v>
      </c>
      <c r="AE11">
        <f t="shared" si="9"/>
        <v>414.91127548637553</v>
      </c>
      <c r="AF11">
        <f t="shared" si="9"/>
        <v>515.90566100713272</v>
      </c>
      <c r="AG11">
        <f t="shared" si="9"/>
        <v>636.41344550655083</v>
      </c>
      <c r="AH11">
        <f t="shared" si="9"/>
        <v>779.51817814854212</v>
      </c>
      <c r="AI11">
        <f t="shared" si="9"/>
        <v>948.77084154778015</v>
      </c>
    </row>
    <row r="12" spans="1:57" x14ac:dyDescent="0.25">
      <c r="A12" t="s">
        <v>40</v>
      </c>
      <c r="E12">
        <f>+E10+E11</f>
        <v>-40</v>
      </c>
      <c r="F12">
        <f>+F10+F11</f>
        <v>302</v>
      </c>
      <c r="G12">
        <f>+G10+G11</f>
        <v>214</v>
      </c>
      <c r="H12">
        <f>+H10+H11</f>
        <v>236</v>
      </c>
      <c r="I12">
        <f>+I10+I11</f>
        <v>7</v>
      </c>
      <c r="J12">
        <f>+J10+J11</f>
        <v>134</v>
      </c>
      <c r="K12">
        <f>+K10+K11</f>
        <v>-114</v>
      </c>
      <c r="L12">
        <f>+L10+L11</f>
        <v>153</v>
      </c>
      <c r="M12">
        <f>+M10+M11</f>
        <v>65</v>
      </c>
      <c r="N12">
        <f>+N10+N11</f>
        <v>244</v>
      </c>
      <c r="S12">
        <f>+S10+S11</f>
        <v>238</v>
      </c>
      <c r="T12">
        <f t="shared" ref="T12:AI12" si="10">+T10+T11</f>
        <v>508.98249999999967</v>
      </c>
      <c r="U12">
        <f t="shared" si="10"/>
        <v>951.94721399999833</v>
      </c>
      <c r="V12">
        <f t="shared" si="10"/>
        <v>1474.5702739619971</v>
      </c>
      <c r="W12">
        <f t="shared" si="10"/>
        <v>2089.9380296211916</v>
      </c>
      <c r="X12">
        <f t="shared" si="10"/>
        <v>2812.4163728921853</v>
      </c>
      <c r="Y12">
        <f t="shared" si="10"/>
        <v>3658.5398943072419</v>
      </c>
      <c r="Z12">
        <f t="shared" si="10"/>
        <v>4647.3376037674834</v>
      </c>
      <c r="AA12">
        <f t="shared" si="10"/>
        <v>5800.7075218976206</v>
      </c>
      <c r="AB12">
        <f t="shared" si="10"/>
        <v>7143.8474729695963</v>
      </c>
      <c r="AC12">
        <f t="shared" si="10"/>
        <v>8705.7505100165199</v>
      </c>
      <c r="AD12">
        <f t="shared" si="10"/>
        <v>10519.774667363105</v>
      </c>
      <c r="AE12">
        <f t="shared" si="10"/>
        <v>12624.298190094652</v>
      </c>
      <c r="AF12">
        <f t="shared" si="10"/>
        <v>15063.473062427254</v>
      </c>
      <c r="AG12">
        <f t="shared" si="10"/>
        <v>17888.091580248911</v>
      </c>
      <c r="AH12">
        <f t="shared" si="10"/>
        <v>21156.582924904757</v>
      </c>
      <c r="AI12">
        <f t="shared" si="10"/>
        <v>24936.159238874003</v>
      </c>
    </row>
    <row r="13" spans="1:57" x14ac:dyDescent="0.25">
      <c r="A13" t="s">
        <v>30</v>
      </c>
      <c r="E13">
        <v>29</v>
      </c>
      <c r="F13">
        <v>61</v>
      </c>
      <c r="G13">
        <v>38</v>
      </c>
      <c r="H13">
        <v>46</v>
      </c>
      <c r="I13">
        <v>2</v>
      </c>
      <c r="J13">
        <v>22</v>
      </c>
      <c r="K13">
        <v>9</v>
      </c>
      <c r="L13">
        <v>59</v>
      </c>
      <c r="M13">
        <v>-166</v>
      </c>
      <c r="N13">
        <v>21</v>
      </c>
      <c r="S13">
        <f t="shared" si="8"/>
        <v>-76</v>
      </c>
      <c r="T13">
        <f>+T12*0.08</f>
        <v>40.718599999999974</v>
      </c>
      <c r="U13">
        <f t="shared" ref="U13:AI13" si="11">+U12*0.2</f>
        <v>190.38944279999967</v>
      </c>
      <c r="V13">
        <f t="shared" si="11"/>
        <v>294.91405479239944</v>
      </c>
      <c r="W13">
        <f t="shared" si="11"/>
        <v>417.98760592423832</v>
      </c>
      <c r="X13">
        <f t="shared" si="11"/>
        <v>562.48327457843709</v>
      </c>
      <c r="Y13">
        <f t="shared" si="11"/>
        <v>731.7079788614484</v>
      </c>
      <c r="Z13">
        <f t="shared" si="11"/>
        <v>929.46752075349673</v>
      </c>
      <c r="AA13">
        <f t="shared" si="11"/>
        <v>1160.1415043795241</v>
      </c>
      <c r="AB13">
        <f t="shared" si="11"/>
        <v>1428.7694945939193</v>
      </c>
      <c r="AC13">
        <f t="shared" si="11"/>
        <v>1741.150102003304</v>
      </c>
      <c r="AD13">
        <f t="shared" si="11"/>
        <v>2103.9549334726212</v>
      </c>
      <c r="AE13">
        <f t="shared" si="11"/>
        <v>2524.8596380189306</v>
      </c>
      <c r="AF13">
        <f t="shared" si="11"/>
        <v>3012.6946124854512</v>
      </c>
      <c r="AG13">
        <f t="shared" si="11"/>
        <v>3577.6183160497822</v>
      </c>
      <c r="AH13">
        <f t="shared" si="11"/>
        <v>4231.3165849809511</v>
      </c>
      <c r="AI13">
        <f t="shared" si="11"/>
        <v>4987.2318477748013</v>
      </c>
    </row>
    <row r="14" spans="1:57" s="1" customFormat="1" x14ac:dyDescent="0.25">
      <c r="A14" s="1" t="s">
        <v>31</v>
      </c>
      <c r="E14" s="1">
        <f>+E12-E13</f>
        <v>-69</v>
      </c>
      <c r="F14" s="1">
        <f>+F12-F13</f>
        <v>241</v>
      </c>
      <c r="G14" s="1">
        <f>+G12-G13</f>
        <v>176</v>
      </c>
      <c r="H14" s="1">
        <f>+H12-H13</f>
        <v>190</v>
      </c>
      <c r="I14" s="1">
        <f>+I12-I13</f>
        <v>5</v>
      </c>
      <c r="J14" s="1">
        <f>+J12-J13</f>
        <v>112</v>
      </c>
      <c r="K14" s="1">
        <f>+K12-K13</f>
        <v>-123</v>
      </c>
      <c r="L14" s="1">
        <f>+L12-L13</f>
        <v>94</v>
      </c>
      <c r="M14" s="1">
        <f>+M12-M13</f>
        <v>231</v>
      </c>
      <c r="N14" s="1">
        <f>+N12-N13</f>
        <v>223</v>
      </c>
      <c r="S14" s="1">
        <f>+S12-S13</f>
        <v>314</v>
      </c>
      <c r="T14" s="1">
        <f t="shared" ref="T14:AI14" si="12">+T12-T13</f>
        <v>468.26389999999969</v>
      </c>
      <c r="U14" s="1">
        <f t="shared" si="12"/>
        <v>761.55777119999868</v>
      </c>
      <c r="V14" s="1">
        <f t="shared" si="12"/>
        <v>1179.6562191695978</v>
      </c>
      <c r="W14" s="1">
        <f t="shared" si="12"/>
        <v>1671.9504236969533</v>
      </c>
      <c r="X14" s="1">
        <f t="shared" si="12"/>
        <v>2249.9330983137484</v>
      </c>
      <c r="Y14" s="1">
        <f t="shared" si="12"/>
        <v>2926.8319154457936</v>
      </c>
      <c r="Z14" s="1">
        <f t="shared" si="12"/>
        <v>3717.8700830139869</v>
      </c>
      <c r="AA14" s="1">
        <f t="shared" si="12"/>
        <v>4640.5660175180965</v>
      </c>
      <c r="AB14" s="1">
        <f t="shared" si="12"/>
        <v>5715.077978375677</v>
      </c>
      <c r="AC14" s="1">
        <f t="shared" si="12"/>
        <v>6964.6004080132161</v>
      </c>
      <c r="AD14" s="1">
        <f t="shared" si="12"/>
        <v>8415.8197338904829</v>
      </c>
      <c r="AE14" s="1">
        <f t="shared" si="12"/>
        <v>10099.438552075722</v>
      </c>
      <c r="AF14" s="1">
        <f t="shared" si="12"/>
        <v>12050.778449941803</v>
      </c>
      <c r="AG14" s="1">
        <f t="shared" si="12"/>
        <v>14310.473264199129</v>
      </c>
      <c r="AH14" s="1">
        <f t="shared" si="12"/>
        <v>16925.266339923804</v>
      </c>
      <c r="AI14" s="1">
        <f t="shared" si="12"/>
        <v>19948.927391099201</v>
      </c>
      <c r="AJ14" s="1">
        <f>+AI14*(1-$Q$18)</f>
        <v>19749.438117188209</v>
      </c>
      <c r="AK14" s="1">
        <f t="shared" ref="AK14:BE14" si="13">+AJ14*(1-$Q$18)</f>
        <v>19551.943736016325</v>
      </c>
      <c r="AL14" s="1">
        <f t="shared" si="13"/>
        <v>19356.424298656162</v>
      </c>
      <c r="AM14" s="1">
        <f t="shared" si="13"/>
        <v>19162.8600556696</v>
      </c>
      <c r="AN14" s="1">
        <f t="shared" si="13"/>
        <v>18971.231455112906</v>
      </c>
      <c r="AO14" s="1">
        <f t="shared" si="13"/>
        <v>18781.519140561777</v>
      </c>
      <c r="AP14" s="1">
        <f t="shared" si="13"/>
        <v>18593.703949156159</v>
      </c>
      <c r="AQ14" s="1">
        <f t="shared" si="13"/>
        <v>18407.766909664599</v>
      </c>
      <c r="AR14" s="1">
        <f t="shared" si="13"/>
        <v>18223.689240567954</v>
      </c>
      <c r="AS14" s="1">
        <f t="shared" si="13"/>
        <v>18041.452348162275</v>
      </c>
      <c r="AT14" s="1">
        <f t="shared" si="13"/>
        <v>17861.03782468065</v>
      </c>
      <c r="AU14" s="1">
        <f t="shared" si="13"/>
        <v>17682.427446433845</v>
      </c>
      <c r="AV14" s="1">
        <f t="shared" si="13"/>
        <v>17505.603171969506</v>
      </c>
      <c r="AW14" s="1">
        <f t="shared" si="13"/>
        <v>17330.547140249811</v>
      </c>
      <c r="AX14" s="1">
        <f t="shared" si="13"/>
        <v>17157.241668847313</v>
      </c>
      <c r="AY14" s="1">
        <f t="shared" si="13"/>
        <v>16985.669252158841</v>
      </c>
      <c r="AZ14" s="1">
        <f t="shared" si="13"/>
        <v>16815.812559637252</v>
      </c>
      <c r="BA14" s="1">
        <f t="shared" si="13"/>
        <v>16647.65443404088</v>
      </c>
      <c r="BB14" s="1">
        <f t="shared" si="13"/>
        <v>16481.17788970047</v>
      </c>
      <c r="BC14" s="1">
        <f t="shared" si="13"/>
        <v>16316.366110803465</v>
      </c>
      <c r="BD14" s="1">
        <f t="shared" si="13"/>
        <v>16153.202449695431</v>
      </c>
      <c r="BE14" s="1">
        <f t="shared" si="13"/>
        <v>15991.670425198476</v>
      </c>
    </row>
    <row r="15" spans="1:57" x14ac:dyDescent="0.25">
      <c r="A15" t="s">
        <v>32</v>
      </c>
      <c r="E15" s="7">
        <f>+E14/E16</f>
        <v>-6.7317073170731712E-2</v>
      </c>
      <c r="F15" s="7">
        <f>+F14/F16</f>
        <v>0.23512195121951218</v>
      </c>
      <c r="G15" s="7">
        <f>+G14/G16</f>
        <v>0.17170731707317075</v>
      </c>
      <c r="H15" s="7">
        <f>+H14/H16</f>
        <v>0.18536585365853658</v>
      </c>
      <c r="I15" s="7">
        <f>+I14/I16</f>
        <v>4.8780487804878049E-3</v>
      </c>
      <c r="J15" s="7">
        <f>+J14/J16</f>
        <v>0.10926829268292683</v>
      </c>
      <c r="K15" s="7">
        <f>+K14/K16</f>
        <v>-0.12</v>
      </c>
      <c r="L15" s="7">
        <f>+L14/L16</f>
        <v>9.1528724440116851E-2</v>
      </c>
      <c r="M15" s="7">
        <f>+M14/M16</f>
        <v>0.22383720930232559</v>
      </c>
      <c r="N15" s="7">
        <f>+N14/N16</f>
        <v>0.21360153256704981</v>
      </c>
      <c r="O15" s="7"/>
      <c r="P15" s="7"/>
      <c r="Q15" s="7"/>
      <c r="R15" s="7"/>
      <c r="S15" s="7">
        <f>+S14/S16</f>
        <v>0.30567047943538572</v>
      </c>
      <c r="T15" s="7">
        <f t="shared" ref="T15:AI15" si="14">+T14/T16</f>
        <v>0.45584220004867332</v>
      </c>
      <c r="U15" s="7">
        <f t="shared" si="14"/>
        <v>0.74135582496957764</v>
      </c>
      <c r="V15" s="7">
        <f t="shared" si="14"/>
        <v>1.1483633187340938</v>
      </c>
      <c r="W15" s="7">
        <f t="shared" si="14"/>
        <v>1.6275983681644715</v>
      </c>
      <c r="X15" s="7">
        <f t="shared" si="14"/>
        <v>2.1902488180226318</v>
      </c>
      <c r="Y15" s="7">
        <f t="shared" si="14"/>
        <v>2.8491914484748539</v>
      </c>
      <c r="Z15" s="7">
        <f t="shared" si="14"/>
        <v>3.6192456393419197</v>
      </c>
      <c r="AA15" s="7">
        <f t="shared" si="14"/>
        <v>4.5174650937143799</v>
      </c>
      <c r="AB15" s="7">
        <f t="shared" si="14"/>
        <v>5.5634733301296446</v>
      </c>
      <c r="AC15" s="7">
        <f t="shared" si="14"/>
        <v>6.7798495088958051</v>
      </c>
      <c r="AD15" s="7">
        <f t="shared" si="14"/>
        <v>8.1925721429938996</v>
      </c>
      <c r="AE15" s="7">
        <f t="shared" si="14"/>
        <v>9.8315293765643439</v>
      </c>
      <c r="AF15" s="7">
        <f t="shared" si="14"/>
        <v>11.731105816443712</v>
      </c>
      <c r="AG15" s="7">
        <f t="shared" si="14"/>
        <v>13.930857400047826</v>
      </c>
      <c r="AH15" s="7">
        <f t="shared" si="14"/>
        <v>16.476287505401611</v>
      </c>
      <c r="AI15" s="7">
        <f t="shared" si="14"/>
        <v>19.41973948999679</v>
      </c>
    </row>
    <row r="16" spans="1:57" x14ac:dyDescent="0.25">
      <c r="A16" t="s">
        <v>2</v>
      </c>
      <c r="E16">
        <v>1025</v>
      </c>
      <c r="F16">
        <v>1025</v>
      </c>
      <c r="G16">
        <v>1025</v>
      </c>
      <c r="H16">
        <v>1025</v>
      </c>
      <c r="I16">
        <v>1025</v>
      </c>
      <c r="J16">
        <v>1025</v>
      </c>
      <c r="K16">
        <v>1025</v>
      </c>
      <c r="L16">
        <v>1027</v>
      </c>
      <c r="M16">
        <v>1032</v>
      </c>
      <c r="N16">
        <v>1044</v>
      </c>
      <c r="S16">
        <f>AVERAGE(J16:M16)</f>
        <v>1027.25</v>
      </c>
      <c r="T16">
        <f>+S16</f>
        <v>1027.25</v>
      </c>
      <c r="U16">
        <f t="shared" ref="U16:AI16" si="15">+T16</f>
        <v>1027.25</v>
      </c>
      <c r="V16">
        <f t="shared" si="15"/>
        <v>1027.25</v>
      </c>
      <c r="W16">
        <f t="shared" si="15"/>
        <v>1027.25</v>
      </c>
      <c r="X16">
        <f t="shared" si="15"/>
        <v>1027.25</v>
      </c>
      <c r="Y16">
        <f t="shared" si="15"/>
        <v>1027.25</v>
      </c>
      <c r="Z16">
        <f t="shared" si="15"/>
        <v>1027.25</v>
      </c>
      <c r="AA16">
        <f t="shared" si="15"/>
        <v>1027.25</v>
      </c>
      <c r="AB16">
        <f t="shared" si="15"/>
        <v>1027.25</v>
      </c>
      <c r="AC16">
        <f t="shared" si="15"/>
        <v>1027.25</v>
      </c>
      <c r="AD16">
        <f t="shared" si="15"/>
        <v>1027.25</v>
      </c>
      <c r="AE16">
        <f t="shared" si="15"/>
        <v>1027.25</v>
      </c>
      <c r="AF16">
        <f t="shared" si="15"/>
        <v>1027.25</v>
      </c>
      <c r="AG16">
        <f t="shared" si="15"/>
        <v>1027.25</v>
      </c>
      <c r="AH16">
        <f t="shared" si="15"/>
        <v>1027.25</v>
      </c>
      <c r="AI16">
        <f t="shared" si="15"/>
        <v>1027.25</v>
      </c>
    </row>
    <row r="18" spans="1:35" x14ac:dyDescent="0.25">
      <c r="A18" t="s">
        <v>33</v>
      </c>
      <c r="D18" s="6"/>
      <c r="E18" s="6"/>
      <c r="F18" s="6"/>
      <c r="G18" s="6"/>
      <c r="H18" s="6"/>
      <c r="I18" s="6">
        <f t="shared" ref="E18:M18" si="16">+I4/E4-1</f>
        <v>-3.6529680365296802E-2</v>
      </c>
      <c r="J18" s="6">
        <f t="shared" si="16"/>
        <v>-2.4566473988439252E-2</v>
      </c>
      <c r="K18" s="6">
        <f t="shared" si="16"/>
        <v>0.27936507936507926</v>
      </c>
      <c r="L18" s="6">
        <f t="shared" si="16"/>
        <v>0.13812154696132595</v>
      </c>
      <c r="M18" s="6">
        <f t="shared" si="16"/>
        <v>0.46603475513428116</v>
      </c>
      <c r="N18" s="6">
        <f>+N4/J4-1</f>
        <v>0.39111111111111119</v>
      </c>
      <c r="P18" t="s">
        <v>43</v>
      </c>
      <c r="Q18" s="6">
        <v>0.01</v>
      </c>
      <c r="T18" s="6">
        <f>+T4/S4-1</f>
        <v>0.14999999999999991</v>
      </c>
      <c r="U18" s="6">
        <f t="shared" ref="U18:AI18" si="17">+U4/T4-1</f>
        <v>0.14999999999999969</v>
      </c>
      <c r="V18" s="6">
        <f t="shared" si="17"/>
        <v>0.14999999999999991</v>
      </c>
      <c r="W18" s="6">
        <f t="shared" si="17"/>
        <v>0.14999999999999991</v>
      </c>
      <c r="X18" s="6">
        <f t="shared" si="17"/>
        <v>0.14999999999999991</v>
      </c>
      <c r="Y18" s="6">
        <f t="shared" si="17"/>
        <v>0.14999999999999991</v>
      </c>
      <c r="Z18" s="6">
        <f t="shared" si="17"/>
        <v>0.14999999999999991</v>
      </c>
      <c r="AA18" s="6">
        <f t="shared" si="17"/>
        <v>0.14999999999999991</v>
      </c>
      <c r="AB18" s="6">
        <f t="shared" si="17"/>
        <v>0.14999999999999991</v>
      </c>
      <c r="AC18" s="6">
        <f t="shared" si="17"/>
        <v>0.14999999999999991</v>
      </c>
      <c r="AD18" s="6">
        <f t="shared" si="17"/>
        <v>0.14999999999999991</v>
      </c>
      <c r="AE18" s="6">
        <f t="shared" si="17"/>
        <v>0.15000000000000013</v>
      </c>
      <c r="AF18" s="6">
        <f t="shared" si="17"/>
        <v>0.14999999999999991</v>
      </c>
      <c r="AG18" s="6">
        <f t="shared" si="17"/>
        <v>0.14999999999999991</v>
      </c>
      <c r="AH18" s="6">
        <f t="shared" si="17"/>
        <v>0.14999999999999991</v>
      </c>
      <c r="AI18" s="6">
        <f t="shared" si="17"/>
        <v>0.14999999999999991</v>
      </c>
    </row>
    <row r="19" spans="1:35" x14ac:dyDescent="0.25">
      <c r="A19" t="s">
        <v>39</v>
      </c>
      <c r="D19" s="6"/>
      <c r="E19" s="6"/>
      <c r="F19" s="6"/>
      <c r="G19" s="6"/>
      <c r="H19" s="6"/>
      <c r="I19" s="6">
        <f t="shared" ref="E19:M19" si="18">+I14/E14-1</f>
        <v>-1.0724637681159421</v>
      </c>
      <c r="J19" s="6">
        <f t="shared" si="18"/>
        <v>-0.53526970954356845</v>
      </c>
      <c r="K19" s="6">
        <f t="shared" si="18"/>
        <v>-1.6988636363636362</v>
      </c>
      <c r="L19" s="6">
        <f t="shared" si="18"/>
        <v>-0.50526315789473686</v>
      </c>
      <c r="M19" s="6">
        <f t="shared" si="18"/>
        <v>45.2</v>
      </c>
      <c r="N19" s="6">
        <f>+N14/J14-1</f>
        <v>0.9910714285714286</v>
      </c>
      <c r="P19" t="s">
        <v>42</v>
      </c>
      <c r="Q19" s="6">
        <v>0.01</v>
      </c>
      <c r="T19" s="6">
        <f>+T14/S14-1</f>
        <v>0.491286305732483</v>
      </c>
      <c r="U19" s="6">
        <f t="shared" ref="U19:AI19" si="19">+U14/T14-1</f>
        <v>0.62634311805799925</v>
      </c>
      <c r="V19" s="6">
        <f t="shared" si="19"/>
        <v>0.54900424338234344</v>
      </c>
      <c r="W19" s="6">
        <f t="shared" si="19"/>
        <v>0.41732006030867108</v>
      </c>
      <c r="X19" s="6">
        <f t="shared" si="19"/>
        <v>0.34569366796102829</v>
      </c>
      <c r="Y19" s="6">
        <f t="shared" si="19"/>
        <v>0.3008528643093249</v>
      </c>
      <c r="Z19" s="6">
        <f t="shared" si="19"/>
        <v>0.27027112947403675</v>
      </c>
      <c r="AA19" s="6">
        <f t="shared" si="19"/>
        <v>0.24817863827993225</v>
      </c>
      <c r="AB19" s="6">
        <f t="shared" si="19"/>
        <v>0.2315476079429335</v>
      </c>
      <c r="AC19" s="6">
        <f t="shared" si="19"/>
        <v>0.21863611211699951</v>
      </c>
      <c r="AD19" s="6">
        <f t="shared" si="19"/>
        <v>0.20837079528748648</v>
      </c>
      <c r="AE19" s="6">
        <f t="shared" si="19"/>
        <v>0.20005404956635542</v>
      </c>
      <c r="AF19" s="6">
        <f t="shared" si="19"/>
        <v>0.19321271056845291</v>
      </c>
      <c r="AG19" s="6">
        <f t="shared" si="19"/>
        <v>0.18751442685997088</v>
      </c>
      <c r="AH19" s="6">
        <f t="shared" si="19"/>
        <v>0.18271884007261807</v>
      </c>
      <c r="AI19" s="6">
        <f t="shared" si="19"/>
        <v>0.17864776780753511</v>
      </c>
    </row>
    <row r="20" spans="1:35" x14ac:dyDescent="0.25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P20" t="s">
        <v>44</v>
      </c>
      <c r="Q20" s="6">
        <v>0.15</v>
      </c>
    </row>
    <row r="21" spans="1:35" x14ac:dyDescent="0.25">
      <c r="A21" t="s">
        <v>34</v>
      </c>
      <c r="D21" s="6"/>
      <c r="E21" s="6">
        <f t="shared" ref="D21:N23" si="20">+E6/E$4</f>
        <v>0.94368340943683404</v>
      </c>
      <c r="F21" s="6">
        <f t="shared" si="20"/>
        <v>0.96387283236994215</v>
      </c>
      <c r="G21" s="6">
        <f t="shared" si="20"/>
        <v>0.96031746031746035</v>
      </c>
      <c r="H21" s="6">
        <f t="shared" si="20"/>
        <v>0.95994475138121549</v>
      </c>
      <c r="I21" s="6">
        <f t="shared" si="20"/>
        <v>0.95734597156398105</v>
      </c>
      <c r="J21" s="6">
        <f t="shared" si="20"/>
        <v>0.95407407407407407</v>
      </c>
      <c r="K21" s="6">
        <f t="shared" si="20"/>
        <v>0.94292803970223327</v>
      </c>
      <c r="L21" s="6">
        <f t="shared" si="20"/>
        <v>0.9563106796116505</v>
      </c>
      <c r="M21" s="6">
        <f t="shared" si="20"/>
        <v>0.95581896551724133</v>
      </c>
      <c r="N21" s="6">
        <f>+N6/N$4</f>
        <v>0.96485623003194887</v>
      </c>
      <c r="P21" t="s">
        <v>45</v>
      </c>
      <c r="Q21" s="6">
        <v>0.08</v>
      </c>
      <c r="S21" s="6">
        <f>+S6/S$4</f>
        <v>0.95236622332199194</v>
      </c>
      <c r="T21" s="6">
        <f t="shared" ref="T21:AI23" si="21">+T6/T$4</f>
        <v>0.95</v>
      </c>
      <c r="U21" s="6">
        <f t="shared" si="21"/>
        <v>0.95</v>
      </c>
      <c r="V21" s="6">
        <f t="shared" si="21"/>
        <v>0.95</v>
      </c>
      <c r="W21" s="6">
        <f t="shared" si="21"/>
        <v>0.95</v>
      </c>
      <c r="X21" s="6">
        <f t="shared" si="21"/>
        <v>0.95</v>
      </c>
      <c r="Y21" s="6">
        <f t="shared" si="21"/>
        <v>0.94999999999999984</v>
      </c>
      <c r="Z21" s="6">
        <f t="shared" si="21"/>
        <v>0.95</v>
      </c>
      <c r="AA21" s="6">
        <f t="shared" si="21"/>
        <v>0.95</v>
      </c>
      <c r="AB21" s="6">
        <f t="shared" si="21"/>
        <v>0.94999999999999984</v>
      </c>
      <c r="AC21" s="6">
        <f t="shared" si="21"/>
        <v>0.94999999999999984</v>
      </c>
      <c r="AD21" s="6">
        <f t="shared" si="21"/>
        <v>0.95</v>
      </c>
      <c r="AE21" s="6">
        <f t="shared" si="21"/>
        <v>0.95</v>
      </c>
      <c r="AF21" s="6">
        <f t="shared" si="21"/>
        <v>0.95</v>
      </c>
      <c r="AG21" s="6">
        <f t="shared" si="21"/>
        <v>0.95</v>
      </c>
      <c r="AH21" s="6">
        <f t="shared" si="21"/>
        <v>0.95000000000000007</v>
      </c>
      <c r="AI21" s="6">
        <f t="shared" si="21"/>
        <v>0.95</v>
      </c>
    </row>
    <row r="22" spans="1:35" x14ac:dyDescent="0.25">
      <c r="A22" t="s">
        <v>35</v>
      </c>
      <c r="D22" s="6"/>
      <c r="E22" s="6">
        <f t="shared" si="20"/>
        <v>0.51902587519025878</v>
      </c>
      <c r="F22" s="6">
        <f t="shared" si="20"/>
        <v>0.31502890173410403</v>
      </c>
      <c r="G22" s="6">
        <f t="shared" si="20"/>
        <v>0.39365079365079364</v>
      </c>
      <c r="H22" s="6">
        <f t="shared" si="20"/>
        <v>0.39502762430939226</v>
      </c>
      <c r="I22" s="6">
        <f t="shared" si="20"/>
        <v>0.6018957345971564</v>
      </c>
      <c r="J22" s="6">
        <f t="shared" si="20"/>
        <v>0.49925925925925924</v>
      </c>
      <c r="K22" s="6">
        <f t="shared" si="20"/>
        <v>0.77667493796526055</v>
      </c>
      <c r="L22" s="6">
        <f t="shared" si="20"/>
        <v>0.52427184466019416</v>
      </c>
      <c r="M22" s="6">
        <f t="shared" si="20"/>
        <v>0.62931034482758619</v>
      </c>
      <c r="N22" s="6">
        <f t="shared" ref="N22:N23" si="22">+N7/N$4</f>
        <v>0.51650692225772099</v>
      </c>
      <c r="P22" t="s">
        <v>46</v>
      </c>
      <c r="Q22" s="8">
        <f>NPV(Q21,T14:BE14)</f>
        <v>100077.95215292026</v>
      </c>
      <c r="S22" s="6">
        <f t="shared" ref="S22:AH23" si="23">+S7/S$4</f>
        <v>0.61212496133622019</v>
      </c>
      <c r="T22" s="6">
        <f t="shared" si="23"/>
        <v>0.54825105232722338</v>
      </c>
      <c r="U22" s="6">
        <f t="shared" si="23"/>
        <v>0.49104224686699155</v>
      </c>
      <c r="V22" s="6">
        <f t="shared" si="23"/>
        <v>0.43980305588956642</v>
      </c>
      <c r="W22" s="6">
        <f t="shared" si="23"/>
        <v>0.39391056310109002</v>
      </c>
      <c r="X22" s="6">
        <f t="shared" si="23"/>
        <v>0.35280685216880242</v>
      </c>
      <c r="Y22" s="6">
        <f t="shared" si="23"/>
        <v>0.31599222411640565</v>
      </c>
      <c r="Z22" s="6">
        <f t="shared" si="23"/>
        <v>0.28301912246947641</v>
      </c>
      <c r="AA22" s="6">
        <f t="shared" si="23"/>
        <v>0.25348669229874854</v>
      </c>
      <c r="AB22" s="6">
        <f t="shared" si="23"/>
        <v>0.22703590701540091</v>
      </c>
      <c r="AC22" s="6">
        <f t="shared" si="23"/>
        <v>0.20334520367466347</v>
      </c>
      <c r="AD22" s="6">
        <f t="shared" si="23"/>
        <v>0.18212657372600297</v>
      </c>
      <c r="AE22" s="6">
        <f t="shared" si="23"/>
        <v>0.16312206168502871</v>
      </c>
      <c r="AF22" s="6">
        <f t="shared" si="23"/>
        <v>0.14610062916137356</v>
      </c>
      <c r="AG22" s="6">
        <f t="shared" si="23"/>
        <v>0.13085534611844765</v>
      </c>
      <c r="AH22" s="6">
        <f t="shared" si="23"/>
        <v>0.11720087521913138</v>
      </c>
      <c r="AI22" s="6">
        <f t="shared" si="21"/>
        <v>0.10497121867452637</v>
      </c>
    </row>
    <row r="23" spans="1:35" x14ac:dyDescent="0.25">
      <c r="A23" t="s">
        <v>36</v>
      </c>
      <c r="D23" s="6"/>
      <c r="E23" s="6">
        <f t="shared" si="20"/>
        <v>0.48858447488584472</v>
      </c>
      <c r="F23" s="6">
        <f t="shared" si="20"/>
        <v>0.22109826589595374</v>
      </c>
      <c r="G23" s="6">
        <f t="shared" si="20"/>
        <v>0.27301587301587299</v>
      </c>
      <c r="H23" s="6">
        <f t="shared" si="20"/>
        <v>0.22513812154696133</v>
      </c>
      <c r="I23" s="6">
        <f t="shared" si="20"/>
        <v>0.43285939968404424</v>
      </c>
      <c r="J23" s="6">
        <f t="shared" si="20"/>
        <v>0.29037037037037039</v>
      </c>
      <c r="K23" s="6">
        <f t="shared" si="20"/>
        <v>0.35980148883374691</v>
      </c>
      <c r="L23" s="6">
        <f t="shared" si="20"/>
        <v>0.26213592233009708</v>
      </c>
      <c r="M23" s="6">
        <f t="shared" si="20"/>
        <v>0.30280172413793105</v>
      </c>
      <c r="N23" s="6">
        <f t="shared" si="22"/>
        <v>0.25452609158679446</v>
      </c>
      <c r="P23" t="s">
        <v>47</v>
      </c>
      <c r="Q23" s="9">
        <f>+Q22-R27</f>
        <v>97612.952152920261</v>
      </c>
      <c r="S23" s="6">
        <f t="shared" si="23"/>
        <v>0.3040519641200124</v>
      </c>
      <c r="T23" s="6">
        <f t="shared" si="21"/>
        <v>0.27232480264661979</v>
      </c>
      <c r="U23" s="6">
        <f t="shared" si="21"/>
        <v>0.2439083015008856</v>
      </c>
      <c r="V23" s="6">
        <f t="shared" si="21"/>
        <v>0.21845700047470629</v>
      </c>
      <c r="W23" s="6">
        <f t="shared" si="21"/>
        <v>0.19566148738169348</v>
      </c>
      <c r="X23" s="6">
        <f t="shared" si="21"/>
        <v>0.17524463652447331</v>
      </c>
      <c r="Y23" s="6">
        <f t="shared" si="21"/>
        <v>0.15695823966974567</v>
      </c>
      <c r="Z23" s="6">
        <f t="shared" si="21"/>
        <v>0.14057998857377224</v>
      </c>
      <c r="AA23" s="6">
        <f t="shared" si="21"/>
        <v>0.12591077237476994</v>
      </c>
      <c r="AB23" s="6">
        <f t="shared" si="21"/>
        <v>0.11277225699653309</v>
      </c>
      <c r="AC23" s="6">
        <f t="shared" si="21"/>
        <v>0.10100471713602531</v>
      </c>
      <c r="AD23" s="6">
        <f t="shared" si="21"/>
        <v>9.0465094478353117E-2</v>
      </c>
      <c r="AE23" s="6">
        <f t="shared" si="21"/>
        <v>8.1025258532785818E-2</v>
      </c>
      <c r="AF23" s="6">
        <f t="shared" si="21"/>
        <v>7.2570448946756017E-2</v>
      </c>
      <c r="AG23" s="6">
        <f t="shared" si="21"/>
        <v>6.4997880361007565E-2</v>
      </c>
      <c r="AH23" s="6">
        <f t="shared" si="21"/>
        <v>5.821549284507635E-2</v>
      </c>
      <c r="AI23" s="6">
        <f t="shared" si="21"/>
        <v>5.2140832722111861E-2</v>
      </c>
    </row>
    <row r="24" spans="1:35" x14ac:dyDescent="0.25">
      <c r="A24" t="s">
        <v>37</v>
      </c>
      <c r="D24" s="6"/>
      <c r="E24" s="6">
        <f t="shared" ref="D24:N24" si="24">+E10/E4</f>
        <v>-6.3926940639269403E-2</v>
      </c>
      <c r="F24" s="6">
        <f t="shared" si="24"/>
        <v>0.4277456647398844</v>
      </c>
      <c r="G24" s="6">
        <f t="shared" si="24"/>
        <v>0.29365079365079366</v>
      </c>
      <c r="H24" s="6">
        <f t="shared" si="24"/>
        <v>0.3397790055248619</v>
      </c>
      <c r="I24" s="6">
        <f t="shared" si="24"/>
        <v>-7.7409162717219593E-2</v>
      </c>
      <c r="J24" s="6">
        <f t="shared" si="24"/>
        <v>0.16444444444444445</v>
      </c>
      <c r="K24" s="6">
        <f t="shared" si="24"/>
        <v>-0.19354838709677419</v>
      </c>
      <c r="L24" s="6">
        <f t="shared" si="24"/>
        <v>0.16990291262135923</v>
      </c>
      <c r="M24" s="6">
        <f t="shared" si="24"/>
        <v>2.3706896551724137E-2</v>
      </c>
      <c r="N24" s="6">
        <f>+N10/N4</f>
        <v>0.19382321618743345</v>
      </c>
      <c r="P24" t="s">
        <v>48</v>
      </c>
      <c r="Q24">
        <f>+Q23/main!M3</f>
        <v>93.498996315057724</v>
      </c>
      <c r="S24" s="6">
        <f>+S10/S4</f>
        <v>3.6189297865759355E-2</v>
      </c>
      <c r="T24" s="6">
        <f t="shared" ref="T24:AI24" si="25">+T10/T4</f>
        <v>0.12942414502615679</v>
      </c>
      <c r="U24" s="6">
        <f t="shared" si="25"/>
        <v>0.2150494516321228</v>
      </c>
      <c r="V24" s="6">
        <f t="shared" si="25"/>
        <v>0.29173994363572719</v>
      </c>
      <c r="W24" s="6">
        <f t="shared" si="25"/>
        <v>0.36042794951721635</v>
      </c>
      <c r="X24" s="6">
        <f t="shared" si="25"/>
        <v>0.42194851130672423</v>
      </c>
      <c r="Y24" s="6">
        <f t="shared" si="25"/>
        <v>0.47704953621384855</v>
      </c>
      <c r="Z24" s="6">
        <f t="shared" si="25"/>
        <v>0.5264008889567513</v>
      </c>
      <c r="AA24" s="6">
        <f t="shared" si="25"/>
        <v>0.57060253532648153</v>
      </c>
      <c r="AB24" s="6">
        <f t="shared" si="25"/>
        <v>0.61019183598806592</v>
      </c>
      <c r="AC24" s="6">
        <f t="shared" si="25"/>
        <v>0.64565007918931105</v>
      </c>
      <c r="AD24" s="6">
        <f t="shared" si="25"/>
        <v>0.67740833179564397</v>
      </c>
      <c r="AE24" s="6">
        <f t="shared" si="25"/>
        <v>0.70585267978218535</v>
      </c>
      <c r="AF24" s="6">
        <f t="shared" si="25"/>
        <v>0.73132892189187038</v>
      </c>
      <c r="AG24" s="6">
        <f t="shared" si="25"/>
        <v>0.75414677352054471</v>
      </c>
      <c r="AH24" s="6">
        <f t="shared" si="25"/>
        <v>0.77458363193579227</v>
      </c>
      <c r="AI24" s="6">
        <f t="shared" si="25"/>
        <v>0.79288794860336176</v>
      </c>
    </row>
    <row r="25" spans="1:35" x14ac:dyDescent="0.25">
      <c r="A25" t="s">
        <v>41</v>
      </c>
      <c r="D25" s="6"/>
      <c r="E25" s="6">
        <f t="shared" ref="D25:N25" si="26">+E13/E12</f>
        <v>-0.72499999999999998</v>
      </c>
      <c r="F25" s="6">
        <f t="shared" si="26"/>
        <v>0.20198675496688742</v>
      </c>
      <c r="G25" s="6">
        <f t="shared" si="26"/>
        <v>0.17757009345794392</v>
      </c>
      <c r="H25" s="6">
        <f t="shared" si="26"/>
        <v>0.19491525423728814</v>
      </c>
      <c r="I25" s="6">
        <f t="shared" si="26"/>
        <v>0.2857142857142857</v>
      </c>
      <c r="J25" s="6">
        <f t="shared" si="26"/>
        <v>0.16417910447761194</v>
      </c>
      <c r="K25" s="6">
        <f t="shared" si="26"/>
        <v>-7.8947368421052627E-2</v>
      </c>
      <c r="L25" s="6">
        <f t="shared" si="26"/>
        <v>0.38562091503267976</v>
      </c>
      <c r="M25" s="6">
        <f t="shared" si="26"/>
        <v>-2.5538461538461537</v>
      </c>
      <c r="N25" s="6">
        <f>+N13/N12</f>
        <v>8.6065573770491802E-2</v>
      </c>
      <c r="P25" t="s">
        <v>49</v>
      </c>
      <c r="Q25" s="6">
        <f>+Q24/main!M2-1</f>
        <v>-0.3766733578996152</v>
      </c>
      <c r="S25" s="6">
        <f>+S13/S12</f>
        <v>-0.31932773109243695</v>
      </c>
      <c r="T25" s="6">
        <f t="shared" ref="T25:AI25" si="27">+T13/T12</f>
        <v>0.08</v>
      </c>
      <c r="U25" s="6">
        <f t="shared" si="27"/>
        <v>0.2</v>
      </c>
      <c r="V25" s="6">
        <f t="shared" si="27"/>
        <v>0.2</v>
      </c>
      <c r="W25" s="6">
        <f t="shared" si="27"/>
        <v>0.2</v>
      </c>
      <c r="X25" s="6">
        <f t="shared" si="27"/>
        <v>0.2</v>
      </c>
      <c r="Y25" s="6">
        <f t="shared" si="27"/>
        <v>0.2</v>
      </c>
      <c r="Z25" s="6">
        <f t="shared" si="27"/>
        <v>0.2</v>
      </c>
      <c r="AA25" s="6">
        <f t="shared" si="27"/>
        <v>0.2</v>
      </c>
      <c r="AB25" s="6">
        <f t="shared" si="27"/>
        <v>0.2</v>
      </c>
      <c r="AC25" s="6">
        <f t="shared" si="27"/>
        <v>0.2</v>
      </c>
      <c r="AD25" s="6">
        <f t="shared" si="27"/>
        <v>0.20000000000000004</v>
      </c>
      <c r="AE25" s="6">
        <f t="shared" si="27"/>
        <v>0.2</v>
      </c>
      <c r="AF25" s="6">
        <f t="shared" si="27"/>
        <v>0.2</v>
      </c>
      <c r="AG25" s="6">
        <f t="shared" si="27"/>
        <v>0.2</v>
      </c>
      <c r="AH25" s="6">
        <f t="shared" si="27"/>
        <v>0.19999999999999998</v>
      </c>
      <c r="AI25" s="6">
        <f t="shared" si="27"/>
        <v>0.20000000000000004</v>
      </c>
    </row>
    <row r="27" spans="1:35" x14ac:dyDescent="0.25">
      <c r="A27" t="s">
        <v>38</v>
      </c>
      <c r="R27" s="4">
        <f>+main!M5-main!M6</f>
        <v>2465</v>
      </c>
      <c r="S27" s="4">
        <f>+R27+S14</f>
        <v>2779</v>
      </c>
      <c r="T27" s="4">
        <f t="shared" ref="T27:AI27" si="28">+S27+T14</f>
        <v>3247.2638999999999</v>
      </c>
      <c r="U27" s="4">
        <f t="shared" si="28"/>
        <v>4008.8216711999985</v>
      </c>
      <c r="V27" s="4">
        <f t="shared" si="28"/>
        <v>5188.477890369596</v>
      </c>
      <c r="W27" s="4">
        <f t="shared" si="28"/>
        <v>6860.4283140665493</v>
      </c>
      <c r="X27" s="4">
        <f t="shared" si="28"/>
        <v>9110.3614123802981</v>
      </c>
      <c r="Y27" s="4">
        <f t="shared" si="28"/>
        <v>12037.193327826091</v>
      </c>
      <c r="Z27" s="4">
        <f t="shared" si="28"/>
        <v>15755.063410840077</v>
      </c>
      <c r="AA27" s="4">
        <f t="shared" si="28"/>
        <v>20395.629428358174</v>
      </c>
      <c r="AB27" s="4">
        <f t="shared" si="28"/>
        <v>26110.707406733851</v>
      </c>
      <c r="AC27" s="4">
        <f t="shared" si="28"/>
        <v>33075.307814747066</v>
      </c>
      <c r="AD27" s="4">
        <f t="shared" si="28"/>
        <v>41491.127548637553</v>
      </c>
      <c r="AE27" s="4">
        <f t="shared" si="28"/>
        <v>51590.566100713273</v>
      </c>
      <c r="AF27" s="4">
        <f t="shared" si="28"/>
        <v>63641.344550655078</v>
      </c>
      <c r="AG27" s="4">
        <f t="shared" si="28"/>
        <v>77951.817814854207</v>
      </c>
      <c r="AH27" s="4">
        <f t="shared" si="28"/>
        <v>94877.084154778015</v>
      </c>
      <c r="AI27" s="4">
        <f t="shared" si="28"/>
        <v>114826.01154587722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CBFEB144F63F4E9EB43CF067A3FDD2" ma:contentTypeVersion="9" ma:contentTypeDescription="Criar um novo documento." ma:contentTypeScope="" ma:versionID="f59182e7d3e0cf5298e8ad942a121699">
  <xsd:schema xmlns:xsd="http://www.w3.org/2001/XMLSchema" xmlns:xs="http://www.w3.org/2001/XMLSchema" xmlns:p="http://schemas.microsoft.com/office/2006/metadata/properties" xmlns:ns3="de0fd296-9832-4e10-a7ad-2bcee574d3b0" xmlns:ns4="02570eab-4ecf-4bb5-b806-a666b23f79b6" targetNamespace="http://schemas.microsoft.com/office/2006/metadata/properties" ma:root="true" ma:fieldsID="f61c57c9eb7d1a1f1952f23e1a76f510" ns3:_="" ns4:_="">
    <xsd:import namespace="de0fd296-9832-4e10-a7ad-2bcee574d3b0"/>
    <xsd:import namespace="02570eab-4ecf-4bb5-b806-a666b23f79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0fd296-9832-4e10-a7ad-2bcee574d3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70eab-4ecf-4bb5-b806-a666b23f79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e0fd296-9832-4e10-a7ad-2bcee574d3b0" xsi:nil="true"/>
  </documentManagement>
</p:properties>
</file>

<file path=customXml/itemProps1.xml><?xml version="1.0" encoding="utf-8"?>
<ds:datastoreItem xmlns:ds="http://schemas.openxmlformats.org/officeDocument/2006/customXml" ds:itemID="{DC6C4D0C-4C51-4B7E-BAEC-60BF1E20EF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0fd296-9832-4e10-a7ad-2bcee574d3b0"/>
    <ds:schemaRef ds:uri="02570eab-4ecf-4bb5-b806-a666b23f79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AEC5D2-1A10-4BE5-8A65-CD3E1253A0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E74CA3-C0CE-44AC-A861-A6897611B629}">
  <ds:schemaRefs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02570eab-4ecf-4bb5-b806-a666b23f79b6"/>
    <ds:schemaRef ds:uri="de0fd296-9832-4e10-a7ad-2bcee574d3b0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2024-10-22T13:37:32Z</dcterms:created>
  <dcterms:modified xsi:type="dcterms:W3CDTF">2024-10-22T15:17:49Z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0x01010078CBFEB144F63F4E9EB43CF067A3FDD2</vt:lpwstr>
  </property>
</Properties>
</file>