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Financials/Ações/"/>
    </mc:Choice>
  </mc:AlternateContent>
  <xr:revisionPtr revIDLastSave="680" documentId="8_{4C5D39FA-5902-49BA-8EDD-0C999A22D9ED}" xr6:coauthVersionLast="47" xr6:coauthVersionMax="47" xr10:uidLastSave="{5E2CF35A-89C7-4396-ADFD-8993DD0E2933}"/>
  <bookViews>
    <workbookView xWindow="-96" yWindow="0" windowWidth="11712" windowHeight="12336" xr2:uid="{806D2139-C987-49CA-B4F1-4A32123B1015}"/>
  </bookViews>
  <sheets>
    <sheet name="main" sheetId="1" r:id="rId1"/>
    <sheet name="mode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S29" i="2"/>
  <c r="S28" i="2"/>
  <c r="R28" i="2"/>
  <c r="S48" i="2"/>
  <c r="S45" i="2"/>
  <c r="S49" i="2" s="1"/>
  <c r="S43" i="2"/>
  <c r="S32" i="2"/>
  <c r="S35" i="2"/>
  <c r="S34" i="2"/>
  <c r="S30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G21" i="2"/>
  <c r="B21" i="2"/>
  <c r="J19" i="2"/>
  <c r="I19" i="2"/>
  <c r="H19" i="2"/>
  <c r="G19" i="2"/>
  <c r="F19" i="2"/>
  <c r="K24" i="2"/>
  <c r="K23" i="2"/>
  <c r="K22" i="2"/>
  <c r="K19" i="2"/>
  <c r="S14" i="2"/>
  <c r="S13" i="2"/>
  <c r="S7" i="2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S6" i="2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S5" i="2"/>
  <c r="T5" i="2" s="1"/>
  <c r="S3" i="2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S2" i="2"/>
  <c r="R14" i="2"/>
  <c r="R13" i="2"/>
  <c r="R7" i="2"/>
  <c r="R24" i="2" s="1"/>
  <c r="R6" i="2"/>
  <c r="R23" i="2" s="1"/>
  <c r="R5" i="2"/>
  <c r="R3" i="2"/>
  <c r="R2" i="2"/>
  <c r="B11" i="2"/>
  <c r="B9" i="2"/>
  <c r="B4" i="2"/>
  <c r="C11" i="2"/>
  <c r="C9" i="2"/>
  <c r="C4" i="2"/>
  <c r="D11" i="2"/>
  <c r="R43" i="2"/>
  <c r="R30" i="2"/>
  <c r="R29" i="2" s="1"/>
  <c r="R34" i="2"/>
  <c r="R32" i="2"/>
  <c r="S1" i="2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D9" i="2"/>
  <c r="D4" i="2"/>
  <c r="D21" i="2" s="1"/>
  <c r="K17" i="2"/>
  <c r="J17" i="2"/>
  <c r="I17" i="2"/>
  <c r="H17" i="2"/>
  <c r="G17" i="2"/>
  <c r="F17" i="2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E17" i="2"/>
  <c r="R17" i="2" s="1"/>
  <c r="E11" i="2"/>
  <c r="E8" i="2"/>
  <c r="R8" i="2" s="1"/>
  <c r="E4" i="2"/>
  <c r="L4" i="1"/>
  <c r="F11" i="2"/>
  <c r="F9" i="2"/>
  <c r="F4" i="2"/>
  <c r="F21" i="2" s="1"/>
  <c r="G11" i="2"/>
  <c r="G8" i="2"/>
  <c r="G4" i="2"/>
  <c r="H9" i="2"/>
  <c r="I11" i="2"/>
  <c r="I8" i="2"/>
  <c r="I9" i="2" s="1"/>
  <c r="J9" i="2"/>
  <c r="K9" i="2"/>
  <c r="K4" i="2"/>
  <c r="K21" i="2" s="1"/>
  <c r="H4" i="2"/>
  <c r="H21" i="2" s="1"/>
  <c r="I4" i="2"/>
  <c r="I21" i="2" s="1"/>
  <c r="H11" i="2"/>
  <c r="J11" i="2"/>
  <c r="J4" i="2"/>
  <c r="J21" i="2" s="1"/>
  <c r="L5" i="1"/>
  <c r="K43" i="2"/>
  <c r="K30" i="2"/>
  <c r="K29" i="2" s="1"/>
  <c r="K34" i="2"/>
  <c r="K32" i="2"/>
  <c r="K11" i="2"/>
  <c r="S46" i="2" l="1"/>
  <c r="R35" i="2"/>
  <c r="S23" i="2"/>
  <c r="E9" i="2"/>
  <c r="R4" i="2"/>
  <c r="R21" i="2" s="1"/>
  <c r="U5" i="2"/>
  <c r="E10" i="2"/>
  <c r="R22" i="2"/>
  <c r="S22" i="2"/>
  <c r="D10" i="2"/>
  <c r="C10" i="2"/>
  <c r="C21" i="2"/>
  <c r="E21" i="2"/>
  <c r="R45" i="2"/>
  <c r="B10" i="2"/>
  <c r="B25" i="2" s="1"/>
  <c r="S24" i="2"/>
  <c r="V5" i="2"/>
  <c r="I10" i="2"/>
  <c r="I25" i="2" s="1"/>
  <c r="S8" i="2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G9" i="2"/>
  <c r="S11" i="2"/>
  <c r="R46" i="2"/>
  <c r="R11" i="2"/>
  <c r="R9" i="2"/>
  <c r="R10" i="2" s="1"/>
  <c r="T2" i="2"/>
  <c r="U2" i="2" s="1"/>
  <c r="S4" i="2"/>
  <c r="S21" i="2" s="1"/>
  <c r="F10" i="2"/>
  <c r="G10" i="2"/>
  <c r="K10" i="2"/>
  <c r="H10" i="2"/>
  <c r="J10" i="2"/>
  <c r="L7" i="1"/>
  <c r="K35" i="2"/>
  <c r="K45" i="2" s="1"/>
  <c r="K46" i="2" s="1"/>
  <c r="B12" i="2" l="1"/>
  <c r="B15" i="2" s="1"/>
  <c r="B16" i="2" s="1"/>
  <c r="S9" i="2"/>
  <c r="S10" i="2" s="1"/>
  <c r="S12" i="2" s="1"/>
  <c r="K12" i="2"/>
  <c r="K26" i="2" s="1"/>
  <c r="K25" i="2"/>
  <c r="J12" i="2"/>
  <c r="J26" i="2" s="1"/>
  <c r="J25" i="2"/>
  <c r="C12" i="2"/>
  <c r="C25" i="2"/>
  <c r="H12" i="2"/>
  <c r="H26" i="2" s="1"/>
  <c r="H25" i="2"/>
  <c r="R12" i="2"/>
  <c r="R25" i="2"/>
  <c r="D12" i="2"/>
  <c r="D25" i="2"/>
  <c r="I12" i="2"/>
  <c r="I26" i="2" s="1"/>
  <c r="U9" i="2"/>
  <c r="G12" i="2"/>
  <c r="G25" i="2"/>
  <c r="T9" i="2"/>
  <c r="E12" i="2"/>
  <c r="E25" i="2"/>
  <c r="F12" i="2"/>
  <c r="F25" i="2"/>
  <c r="U4" i="2"/>
  <c r="U10" i="2" s="1"/>
  <c r="V2" i="2"/>
  <c r="V9" i="2"/>
  <c r="W5" i="2"/>
  <c r="V4" i="2"/>
  <c r="V10" i="2" s="1"/>
  <c r="W2" i="2"/>
  <c r="T4" i="2"/>
  <c r="T24" i="2"/>
  <c r="T23" i="2"/>
  <c r="T22" i="2"/>
  <c r="J15" i="2"/>
  <c r="J16" i="2" s="1"/>
  <c r="K15" i="2"/>
  <c r="I15" i="2"/>
  <c r="I16" i="2" s="1"/>
  <c r="S25" i="2" l="1"/>
  <c r="B26" i="2"/>
  <c r="K16" i="2"/>
  <c r="K49" i="2"/>
  <c r="K48" i="2"/>
  <c r="H15" i="2"/>
  <c r="H16" i="2" s="1"/>
  <c r="F15" i="2"/>
  <c r="F16" i="2" s="1"/>
  <c r="F26" i="2"/>
  <c r="D15" i="2"/>
  <c r="D16" i="2" s="1"/>
  <c r="D26" i="2"/>
  <c r="G15" i="2"/>
  <c r="G16" i="2" s="1"/>
  <c r="G26" i="2"/>
  <c r="C15" i="2"/>
  <c r="C16" i="2" s="1"/>
  <c r="C26" i="2"/>
  <c r="E15" i="2"/>
  <c r="E16" i="2" s="1"/>
  <c r="E26" i="2"/>
  <c r="R15" i="2"/>
  <c r="R26" i="2"/>
  <c r="W4" i="2"/>
  <c r="X2" i="2"/>
  <c r="W9" i="2"/>
  <c r="X5" i="2"/>
  <c r="T21" i="2"/>
  <c r="T10" i="2"/>
  <c r="U21" i="2"/>
  <c r="U25" i="2"/>
  <c r="U24" i="2"/>
  <c r="U23" i="2"/>
  <c r="U22" i="2"/>
  <c r="S15" i="2"/>
  <c r="S26" i="2"/>
  <c r="R16" i="2" l="1"/>
  <c r="R49" i="2"/>
  <c r="R48" i="2"/>
  <c r="S16" i="2"/>
  <c r="T11" i="2"/>
  <c r="T12" i="2" s="1"/>
  <c r="T13" i="2" s="1"/>
  <c r="X9" i="2"/>
  <c r="Y5" i="2"/>
  <c r="X4" i="2"/>
  <c r="X10" i="2" s="1"/>
  <c r="Y2" i="2"/>
  <c r="W10" i="2"/>
  <c r="V21" i="2"/>
  <c r="V25" i="2"/>
  <c r="V24" i="2"/>
  <c r="V23" i="2"/>
  <c r="V22" i="2"/>
  <c r="T25" i="2"/>
  <c r="T26" i="2" l="1"/>
  <c r="T15" i="2"/>
  <c r="T29" i="2" s="1"/>
  <c r="U11" i="2" s="1"/>
  <c r="Y4" i="2"/>
  <c r="Z2" i="2"/>
  <c r="Y9" i="2"/>
  <c r="Z5" i="2"/>
  <c r="W21" i="2"/>
  <c r="W25" i="2"/>
  <c r="W24" i="2"/>
  <c r="W23" i="2"/>
  <c r="W22" i="2"/>
  <c r="T16" i="2" l="1"/>
  <c r="Z9" i="2"/>
  <c r="AA5" i="2"/>
  <c r="Z4" i="2"/>
  <c r="Z10" i="2" s="1"/>
  <c r="AA2" i="2"/>
  <c r="Y10" i="2"/>
  <c r="X21" i="2"/>
  <c r="X25" i="2"/>
  <c r="X24" i="2"/>
  <c r="X23" i="2"/>
  <c r="X22" i="2"/>
  <c r="U12" i="2" l="1"/>
  <c r="AA4" i="2"/>
  <c r="AB2" i="2"/>
  <c r="AA9" i="2"/>
  <c r="AB5" i="2"/>
  <c r="Y21" i="2"/>
  <c r="Y25" i="2"/>
  <c r="Y24" i="2"/>
  <c r="Y23" i="2"/>
  <c r="Y22" i="2"/>
  <c r="U13" i="2" l="1"/>
  <c r="U26" i="2" s="1"/>
  <c r="AB9" i="2"/>
  <c r="AC5" i="2"/>
  <c r="AB4" i="2"/>
  <c r="AC2" i="2"/>
  <c r="AA10" i="2"/>
  <c r="Z21" i="2"/>
  <c r="Z25" i="2"/>
  <c r="Z24" i="2"/>
  <c r="Z23" i="2"/>
  <c r="Z22" i="2"/>
  <c r="AB10" i="2" l="1"/>
  <c r="U15" i="2"/>
  <c r="AC4" i="2"/>
  <c r="AD2" i="2"/>
  <c r="AC9" i="2"/>
  <c r="AD5" i="2"/>
  <c r="AA21" i="2"/>
  <c r="AA25" i="2"/>
  <c r="AA24" i="2"/>
  <c r="AA23" i="2"/>
  <c r="AA22" i="2"/>
  <c r="U16" i="2" l="1"/>
  <c r="U29" i="2"/>
  <c r="AD9" i="2"/>
  <c r="AE5" i="2"/>
  <c r="AD4" i="2"/>
  <c r="AD10" i="2" s="1"/>
  <c r="AE2" i="2"/>
  <c r="AC10" i="2"/>
  <c r="AB21" i="2"/>
  <c r="AB25" i="2"/>
  <c r="AB24" i="2"/>
  <c r="AB23" i="2"/>
  <c r="AB22" i="2"/>
  <c r="V11" i="2" l="1"/>
  <c r="V12" i="2" s="1"/>
  <c r="V13" i="2" s="1"/>
  <c r="V26" i="2" s="1"/>
  <c r="AE4" i="2"/>
  <c r="AF2" i="2"/>
  <c r="AE9" i="2"/>
  <c r="AF5" i="2"/>
  <c r="AC21" i="2"/>
  <c r="AC25" i="2"/>
  <c r="AC24" i="2"/>
  <c r="AC23" i="2"/>
  <c r="AC22" i="2"/>
  <c r="V15" i="2" l="1"/>
  <c r="V29" i="2" s="1"/>
  <c r="AF9" i="2"/>
  <c r="AG5" i="2"/>
  <c r="AF4" i="2"/>
  <c r="AF10" i="2" s="1"/>
  <c r="AG2" i="2"/>
  <c r="AE10" i="2"/>
  <c r="AD21" i="2"/>
  <c r="AD25" i="2"/>
  <c r="AD24" i="2"/>
  <c r="AD23" i="2"/>
  <c r="AD22" i="2"/>
  <c r="V16" i="2" l="1"/>
  <c r="W11" i="2"/>
  <c r="W12" i="2" s="1"/>
  <c r="AG4" i="2"/>
  <c r="AH2" i="2"/>
  <c r="AG9" i="2"/>
  <c r="AH5" i="2"/>
  <c r="AE21" i="2"/>
  <c r="AE25" i="2"/>
  <c r="AE24" i="2"/>
  <c r="AE23" i="2"/>
  <c r="AE22" i="2"/>
  <c r="W13" i="2" l="1"/>
  <c r="W26" i="2" s="1"/>
  <c r="AH9" i="2"/>
  <c r="AI5" i="2"/>
  <c r="AH4" i="2"/>
  <c r="AH10" i="2" s="1"/>
  <c r="AI2" i="2"/>
  <c r="AG10" i="2"/>
  <c r="AF21" i="2"/>
  <c r="AF25" i="2"/>
  <c r="AF24" i="2"/>
  <c r="AF23" i="2"/>
  <c r="AF22" i="2"/>
  <c r="W15" i="2" l="1"/>
  <c r="W29" i="2" s="1"/>
  <c r="X11" i="2" s="1"/>
  <c r="AI4" i="2"/>
  <c r="AJ2" i="2"/>
  <c r="AJ4" i="2" s="1"/>
  <c r="AI9" i="2"/>
  <c r="AJ5" i="2"/>
  <c r="AJ9" i="2" s="1"/>
  <c r="AG21" i="2"/>
  <c r="AG25" i="2"/>
  <c r="AG24" i="2"/>
  <c r="AG23" i="2"/>
  <c r="AG22" i="2"/>
  <c r="W16" i="2" l="1"/>
  <c r="X12" i="2"/>
  <c r="AJ10" i="2"/>
  <c r="AI10" i="2"/>
  <c r="AH21" i="2"/>
  <c r="AH25" i="2"/>
  <c r="AH24" i="2"/>
  <c r="AH23" i="2"/>
  <c r="AH22" i="2"/>
  <c r="X13" i="2" l="1"/>
  <c r="X26" i="2" s="1"/>
  <c r="AI21" i="2"/>
  <c r="AI25" i="2"/>
  <c r="AI24" i="2"/>
  <c r="AI23" i="2"/>
  <c r="AI22" i="2"/>
  <c r="X15" i="2" l="1"/>
  <c r="AJ21" i="2"/>
  <c r="AJ25" i="2"/>
  <c r="AJ24" i="2"/>
  <c r="AJ23" i="2"/>
  <c r="AJ22" i="2"/>
  <c r="X16" i="2" l="1"/>
  <c r="X29" i="2"/>
  <c r="Y11" i="2" l="1"/>
  <c r="Y12" i="2" s="1"/>
  <c r="Y13" i="2" s="1"/>
  <c r="Y26" i="2" s="1"/>
  <c r="Y15" i="2" l="1"/>
  <c r="Y29" i="2" s="1"/>
  <c r="Y16" i="2"/>
  <c r="Z11" i="2" l="1"/>
  <c r="Z12" i="2" s="1"/>
  <c r="Z13" i="2" l="1"/>
  <c r="Z26" i="2" s="1"/>
  <c r="Z15" i="2" l="1"/>
  <c r="Z16" i="2" l="1"/>
  <c r="Z29" i="2"/>
  <c r="AA11" i="2" l="1"/>
  <c r="AA12" i="2" s="1"/>
  <c r="AA13" i="2" s="1"/>
  <c r="AA26" i="2" s="1"/>
  <c r="AA15" i="2" l="1"/>
  <c r="AA16" i="2" l="1"/>
  <c r="AA29" i="2"/>
  <c r="AB11" i="2" l="1"/>
  <c r="AB12" i="2" s="1"/>
  <c r="AB13" i="2"/>
  <c r="AB26" i="2" s="1"/>
  <c r="AB15" i="2" l="1"/>
  <c r="AB16" i="2" l="1"/>
  <c r="AB29" i="2"/>
  <c r="AC11" i="2" l="1"/>
  <c r="AC12" i="2" s="1"/>
  <c r="AC13" i="2" s="1"/>
  <c r="AC26" i="2" s="1"/>
  <c r="AC15" i="2" l="1"/>
  <c r="AC16" i="2" l="1"/>
  <c r="AC29" i="2"/>
  <c r="AD11" i="2" l="1"/>
  <c r="AD12" i="2" s="1"/>
  <c r="AD13" i="2" s="1"/>
  <c r="AD26" i="2" s="1"/>
  <c r="AD15" i="2" l="1"/>
  <c r="AD29" i="2" s="1"/>
  <c r="AE11" i="2" s="1"/>
  <c r="AD16" i="2" l="1"/>
  <c r="AE12" i="2"/>
  <c r="AE13" i="2" l="1"/>
  <c r="AE26" i="2" s="1"/>
  <c r="AE15" i="2" l="1"/>
  <c r="AE29" i="2" s="1"/>
  <c r="AE16" i="2"/>
  <c r="AF11" i="2" l="1"/>
  <c r="AF12" i="2"/>
  <c r="AF13" i="2" l="1"/>
  <c r="AF26" i="2" s="1"/>
  <c r="AF15" i="2" l="1"/>
  <c r="AF29" i="2" s="1"/>
  <c r="AF16" i="2" l="1"/>
  <c r="AG11" i="2"/>
  <c r="AG12" i="2"/>
  <c r="AG13" i="2" l="1"/>
  <c r="AG26" i="2" s="1"/>
  <c r="AG15" i="2" l="1"/>
  <c r="AG29" i="2" s="1"/>
  <c r="AG16" i="2" l="1"/>
  <c r="AH11" i="2"/>
  <c r="AH12" i="2" s="1"/>
  <c r="AH13" i="2" l="1"/>
  <c r="AH26" i="2" s="1"/>
  <c r="AH15" i="2" l="1"/>
  <c r="AH29" i="2" s="1"/>
  <c r="AH16" i="2" l="1"/>
  <c r="AI11" i="2"/>
  <c r="AI12" i="2"/>
  <c r="AI13" i="2" l="1"/>
  <c r="AI26" i="2" s="1"/>
  <c r="AI15" i="2" l="1"/>
  <c r="AI29" i="2" s="1"/>
  <c r="AI16" i="2" l="1"/>
  <c r="AJ11" i="2"/>
  <c r="AJ12" i="2" s="1"/>
  <c r="AJ13" i="2" l="1"/>
  <c r="AJ26" i="2" s="1"/>
  <c r="AJ15" i="2" l="1"/>
  <c r="AK15" i="2" l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AJ29" i="2"/>
  <c r="AJ16" i="2"/>
  <c r="N8" i="2"/>
  <c r="N9" i="2" s="1"/>
  <c r="N10" i="2" s="1"/>
  <c r="N11" i="2" s="1"/>
</calcChain>
</file>

<file path=xl/sharedStrings.xml><?xml version="1.0" encoding="utf-8"?>
<sst xmlns="http://schemas.openxmlformats.org/spreadsheetml/2006/main" count="130" uniqueCount="106">
  <si>
    <t>BABA</t>
  </si>
  <si>
    <t>Price</t>
  </si>
  <si>
    <t>1 ADS = 8 S/O</t>
  </si>
  <si>
    <t>RMB</t>
  </si>
  <si>
    <t>Shares</t>
  </si>
  <si>
    <t xml:space="preserve">  </t>
  </si>
  <si>
    <t>MC</t>
  </si>
  <si>
    <t>Cash</t>
  </si>
  <si>
    <t>Q224</t>
  </si>
  <si>
    <t>Debt</t>
  </si>
  <si>
    <t>EV</t>
  </si>
  <si>
    <t xml:space="preserve"> 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</si>
  <si>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</si>
  <si>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</si>
  <si>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</si>
  <si>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</si>
  <si>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</si>
  <si>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</si>
  <si>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</si>
  <si>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</si>
  <si>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</si>
  <si>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Revenue</t>
  </si>
  <si>
    <t>CoP</t>
  </si>
  <si>
    <t>Gross Profit</t>
  </si>
  <si>
    <t>Terminal</t>
  </si>
  <si>
    <t>Development</t>
  </si>
  <si>
    <t>ROIC</t>
  </si>
  <si>
    <t>SM</t>
  </si>
  <si>
    <t>MR</t>
  </si>
  <si>
    <t>GA</t>
  </si>
  <si>
    <t>DR</t>
  </si>
  <si>
    <t>Amortization</t>
  </si>
  <si>
    <t>NPV</t>
  </si>
  <si>
    <t>OPEX</t>
  </si>
  <si>
    <t>TV</t>
  </si>
  <si>
    <t>Operating Profit</t>
  </si>
  <si>
    <t>Per share</t>
  </si>
  <si>
    <t>Interest Income</t>
  </si>
  <si>
    <t>Ratio</t>
  </si>
  <si>
    <t>Pretaxe</t>
  </si>
  <si>
    <t xml:space="preserve">
</t>
  </si>
  <si>
    <t>Taxes</t>
  </si>
  <si>
    <t>Equity</t>
  </si>
  <si>
    <t>Net Income</t>
  </si>
  <si>
    <t>EPS</t>
  </si>
  <si>
    <t>Revenue y/y</t>
  </si>
  <si>
    <t xml:space="preserve">Gross % </t>
  </si>
  <si>
    <t>Dev 5</t>
  </si>
  <si>
    <t>SM %</t>
  </si>
  <si>
    <t>GA %</t>
  </si>
  <si>
    <t>Operating %</t>
  </si>
  <si>
    <t>Taxe rate</t>
  </si>
  <si>
    <t>NC</t>
  </si>
  <si>
    <t>Restricted</t>
  </si>
  <si>
    <t>OA</t>
  </si>
  <si>
    <t>PPE</t>
  </si>
  <si>
    <t>Intangibles</t>
  </si>
  <si>
    <t>Assets</t>
  </si>
  <si>
    <t>Notes</t>
  </si>
  <si>
    <t>A/P</t>
  </si>
  <si>
    <t>Deposits</t>
  </si>
  <si>
    <t>D/R</t>
  </si>
  <si>
    <t>Liabilities</t>
  </si>
  <si>
    <t>S/E</t>
  </si>
  <si>
    <t>L+S/E</t>
  </si>
  <si>
    <t>ROA</t>
  </si>
  <si>
    <t>ROE</t>
  </si>
  <si>
    <t>Ecommerce</t>
  </si>
  <si>
    <t>Taobao</t>
  </si>
  <si>
    <t>Tmall</t>
  </si>
  <si>
    <t>Alibaba.com</t>
  </si>
  <si>
    <t>Cloud computing</t>
  </si>
  <si>
    <t>Digital midia</t>
  </si>
  <si>
    <t>Youku</t>
  </si>
  <si>
    <t>Alibaba pictures</t>
  </si>
  <si>
    <t>Amap</t>
  </si>
  <si>
    <t>Logistics</t>
  </si>
  <si>
    <t>Cainiao Network</t>
  </si>
  <si>
    <t>1100 Warehouses</t>
  </si>
  <si>
    <t>380 Sorting Centers</t>
  </si>
  <si>
    <t xml:space="preserve">Acelerates global shipping with AI </t>
  </si>
  <si>
    <t>Streaming Platform</t>
  </si>
  <si>
    <t xml:space="preserve">Fintech </t>
  </si>
  <si>
    <t>Alipay</t>
  </si>
  <si>
    <t xml:space="preserve">Products </t>
  </si>
  <si>
    <t>Services</t>
  </si>
  <si>
    <t>Ant Group</t>
  </si>
  <si>
    <t>Speecs</t>
  </si>
  <si>
    <t xml:space="preserve">facilitates payments for business </t>
  </si>
  <si>
    <t>C2C</t>
  </si>
  <si>
    <t>B2B; B2C;</t>
  </si>
  <si>
    <t>B2C</t>
  </si>
  <si>
    <t>Alibaba Group</t>
  </si>
  <si>
    <t>1455 employees</t>
  </si>
  <si>
    <t>Cinematography</t>
  </si>
  <si>
    <t>Digital map data</t>
  </si>
  <si>
    <t>Shippment and facilities</t>
  </si>
  <si>
    <t>Alibaba cloud</t>
  </si>
  <si>
    <t>Navigation/Delivering apps</t>
  </si>
  <si>
    <t>IaaS</t>
  </si>
  <si>
    <t>SaaS</t>
  </si>
  <si>
    <t>PaaS</t>
  </si>
  <si>
    <t xml:space="preserve">Lost of S/E </t>
  </si>
  <si>
    <t>Reported -1%</t>
  </si>
  <si>
    <t>Cash increased by 6%</t>
  </si>
  <si>
    <t xml:space="preserve">L+S/E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</si>
</sst>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0" fontId="0" fillId="0" borderId="0" xfId="0" applyAlignment="1">
      <alignment wrapText="1"/>
    </xf>
    <xf numFmtId="8" fontId="0" fillId="0" borderId="0" xfId="0" applyNumberFormat="1"/>
    <xf numFmtId="0" fontId="0" fillId="0" borderId="0" xfId="0" applyFont="1"/>
    <xf numFmtId="3" fontId="1" fillId="0" borderId="0" xfId="0" applyNumberFormat="1" applyFont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365AD-19AD-4B96-8F8E-2F72C38BF655}">
  <dimension ref="B2:N24"/>
  <sheetViews>
    <sheetView tabSelected="1" topLeftCell="F1" workbookViewId="0">
      <selection activeCell="N5" sqref="N5"/>
    </sheetView>
  </sheetViews>
  <sheetFormatPr defaultRowHeight="13.8" x14ac:dyDescent="0.25"/>
  <cols>
    <col min="2" max="2" width="19.09765625" bestFit="1" customWidth="1"/>
    <col min="3" max="3" width="14.19921875" bestFit="1" customWidth="1"/>
    <col min="4" max="4" width="20" bestFit="1" customWidth="1"/>
    <col min="5" max="5" width="17.5" bestFit="1" customWidth="1"/>
    <col min="12" max="12" width="9.8984375" bestFit="1" customWidth="1"/>
  </cols>
  <sheetData>
    <row r="2" spans="2:14" x14ac:dyDescent="0.25">
      <c r="B2" s="2" t="s">
        <v>0</v>
      </c>
      <c r="K2" t="s">
        <v>1</v>
      </c>
      <c r="L2" s="3">
        <v>114</v>
      </c>
    </row>
    <row r="3" spans="2:14" x14ac:dyDescent="0.25">
      <c r="H3" t="s">
        <v>2</v>
      </c>
      <c r="J3" t="s">
        <v>3</v>
      </c>
      <c r="K3" t="s">
        <v>4</v>
      </c>
      <c r="L3" s="3">
        <v>2378</v>
      </c>
      <c r="M3" t="s">
        <v>5</v>
      </c>
    </row>
    <row r="4" spans="2:14" x14ac:dyDescent="0.25">
      <c r="K4" t="s">
        <v>6</v>
      </c>
      <c r="L4" s="3">
        <f>+L2*L3</f>
        <v>271092</v>
      </c>
    </row>
    <row r="5" spans="2:14" x14ac:dyDescent="0.25">
      <c r="K5" t="s">
        <v>7</v>
      </c>
      <c r="L5" s="3">
        <f>30158+24223+7393+45538+28054</f>
        <v>135366</v>
      </c>
      <c r="M5" t="s">
        <v>8</v>
      </c>
      <c r="N5" s="3">
        <f>30158+24223+7393+45538+28054</f>
        <v>135366</v>
      </c>
    </row>
    <row r="6" spans="2:14" x14ac:dyDescent="0.25">
      <c r="C6" t="s">
        <v>11</v>
      </c>
      <c r="D6" t="s">
        <v>11</v>
      </c>
      <c r="K6" t="s">
        <v>9</v>
      </c>
      <c r="L6" s="3">
        <v>1867</v>
      </c>
      <c r="M6" t="s">
        <v>8</v>
      </c>
    </row>
    <row r="7" spans="2:14" x14ac:dyDescent="0.25">
      <c r="C7" t="s">
        <v>92</v>
      </c>
      <c r="K7" t="s">
        <v>10</v>
      </c>
      <c r="L7" s="3">
        <f>+L4-L5+L6</f>
        <v>137593</v>
      </c>
    </row>
    <row r="8" spans="2:14" x14ac:dyDescent="0.25">
      <c r="B8" s="1" t="s">
        <v>85</v>
      </c>
      <c r="C8" s="1" t="s">
        <v>84</v>
      </c>
      <c r="D8" s="1" t="s">
        <v>87</v>
      </c>
      <c r="F8" s="1" t="s">
        <v>11</v>
      </c>
    </row>
    <row r="9" spans="2:14" x14ac:dyDescent="0.25">
      <c r="B9" t="s">
        <v>67</v>
      </c>
      <c r="C9" t="s">
        <v>68</v>
      </c>
      <c r="D9" t="s">
        <v>89</v>
      </c>
      <c r="L9" t="s">
        <v>11</v>
      </c>
    </row>
    <row r="10" spans="2:14" x14ac:dyDescent="0.25">
      <c r="B10" t="s">
        <v>67</v>
      </c>
      <c r="C10" t="s">
        <v>69</v>
      </c>
      <c r="D10" t="s">
        <v>91</v>
      </c>
    </row>
    <row r="11" spans="2:14" x14ac:dyDescent="0.25">
      <c r="B11" t="s">
        <v>67</v>
      </c>
      <c r="C11" t="s">
        <v>70</v>
      </c>
      <c r="D11" t="s">
        <v>90</v>
      </c>
    </row>
    <row r="12" spans="2:14" x14ac:dyDescent="0.25">
      <c r="B12" t="s">
        <v>71</v>
      </c>
      <c r="C12" t="s">
        <v>97</v>
      </c>
      <c r="D12" t="s">
        <v>99</v>
      </c>
    </row>
    <row r="13" spans="2:14" x14ac:dyDescent="0.25">
      <c r="D13" t="s">
        <v>101</v>
      </c>
    </row>
    <row r="14" spans="2:14" x14ac:dyDescent="0.25">
      <c r="D14" t="s">
        <v>100</v>
      </c>
    </row>
    <row r="15" spans="2:14" x14ac:dyDescent="0.25">
      <c r="B15" t="s">
        <v>72</v>
      </c>
      <c r="C15" t="s">
        <v>73</v>
      </c>
      <c r="D15" t="s">
        <v>81</v>
      </c>
    </row>
    <row r="16" spans="2:14" x14ac:dyDescent="0.25">
      <c r="B16" t="s">
        <v>72</v>
      </c>
      <c r="C16" t="s">
        <v>74</v>
      </c>
      <c r="D16" t="s">
        <v>94</v>
      </c>
      <c r="E16" t="s">
        <v>93</v>
      </c>
    </row>
    <row r="17" spans="2:7" x14ac:dyDescent="0.25">
      <c r="B17" t="s">
        <v>72</v>
      </c>
      <c r="C17" t="s">
        <v>75</v>
      </c>
      <c r="D17" t="s">
        <v>95</v>
      </c>
      <c r="E17" t="s">
        <v>98</v>
      </c>
    </row>
    <row r="18" spans="2:7" x14ac:dyDescent="0.25">
      <c r="B18" t="s">
        <v>76</v>
      </c>
      <c r="C18" t="s">
        <v>77</v>
      </c>
      <c r="D18" t="s">
        <v>96</v>
      </c>
      <c r="E18" t="s">
        <v>78</v>
      </c>
      <c r="G18" t="s">
        <v>80</v>
      </c>
    </row>
    <row r="19" spans="2:7" x14ac:dyDescent="0.25">
      <c r="B19" t="s">
        <v>11</v>
      </c>
      <c r="E19" t="s">
        <v>79</v>
      </c>
    </row>
    <row r="20" spans="2:7" x14ac:dyDescent="0.25">
      <c r="B20" t="s">
        <v>82</v>
      </c>
      <c r="C20" t="s">
        <v>86</v>
      </c>
      <c r="D20" t="s">
        <v>83</v>
      </c>
      <c r="E20" t="s">
        <v>88</v>
      </c>
    </row>
    <row r="22" spans="2:7" x14ac:dyDescent="0.25">
      <c r="B22" t="s">
        <v>102</v>
      </c>
      <c r="C22" s="5">
        <v>0.02</v>
      </c>
      <c r="D22" t="s">
        <v>103</v>
      </c>
    </row>
    <row r="23" spans="2:7" x14ac:dyDescent="0.25">
      <c r="B23" t="s">
        <v>104</v>
      </c>
    </row>
    <row r="24" spans="2:7" x14ac:dyDescent="0.25">
      <c r="B24" t="s">
        <v>105</v>
      </c>
      <c r="C24" s="5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0E6B7-AD69-4EF0-8154-90557491B42A}">
  <dimension ref="A1:BB49"/>
  <sheetViews>
    <sheetView workbookViewId="0">
      <pane xSplit="1" ySplit="1" topLeftCell="P21" activePane="bottomRight" state="frozen"/>
      <selection pane="topRight" activeCell="B1" sqref="B1"/>
      <selection pane="bottomLeft" activeCell="A2" sqref="A2"/>
      <selection pane="bottomRight" activeCell="S32" sqref="S32"/>
    </sheetView>
  </sheetViews>
  <sheetFormatPr defaultRowHeight="13.8" x14ac:dyDescent="0.25"/>
  <cols>
    <col min="1" max="1" width="13.59765625" bestFit="1" customWidth="1"/>
    <col min="14" max="14" width="12" bestFit="1" customWidth="1"/>
  </cols>
  <sheetData>
    <row r="1" spans="1:54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</v>
      </c>
      <c r="R1">
        <v>2022</v>
      </c>
      <c r="S1">
        <f>+R1+1</f>
        <v>2023</v>
      </c>
      <c r="T1">
        <f t="shared" ref="T1:AJ1" si="0">+S1+1</f>
        <v>2024</v>
      </c>
      <c r="U1">
        <f t="shared" si="0"/>
        <v>2025</v>
      </c>
      <c r="V1">
        <f t="shared" si="0"/>
        <v>2026</v>
      </c>
      <c r="W1">
        <f t="shared" si="0"/>
        <v>2027</v>
      </c>
      <c r="X1">
        <f t="shared" si="0"/>
        <v>2028</v>
      </c>
      <c r="Y1">
        <f t="shared" si="0"/>
        <v>2029</v>
      </c>
      <c r="Z1">
        <f t="shared" si="0"/>
        <v>2030</v>
      </c>
      <c r="AA1">
        <f t="shared" si="0"/>
        <v>2031</v>
      </c>
      <c r="AB1">
        <f t="shared" si="0"/>
        <v>2032</v>
      </c>
      <c r="AC1">
        <f t="shared" si="0"/>
        <v>2033</v>
      </c>
      <c r="AD1">
        <f t="shared" si="0"/>
        <v>2034</v>
      </c>
      <c r="AE1">
        <f t="shared" si="0"/>
        <v>2035</v>
      </c>
      <c r="AF1">
        <f t="shared" si="0"/>
        <v>2036</v>
      </c>
      <c r="AG1">
        <f t="shared" si="0"/>
        <v>2037</v>
      </c>
      <c r="AH1">
        <f t="shared" si="0"/>
        <v>2038</v>
      </c>
      <c r="AI1">
        <f t="shared" si="0"/>
        <v>2039</v>
      </c>
      <c r="AJ1">
        <f t="shared" si="0"/>
        <v>2040</v>
      </c>
      <c r="AK1" t="s">
        <v>11</v>
      </c>
    </row>
    <row r="2" spans="1:54" s="9" customFormat="1" x14ac:dyDescent="0.25">
      <c r="A2" s="1" t="s">
        <v>21</v>
      </c>
      <c r="B2" s="1">
        <v>32188</v>
      </c>
      <c r="C2" s="1">
        <v>30698</v>
      </c>
      <c r="D2" s="1">
        <v>29124</v>
      </c>
      <c r="E2" s="1">
        <v>35921</v>
      </c>
      <c r="F2" s="1">
        <v>30316</v>
      </c>
      <c r="G2" s="1">
        <v>32292</v>
      </c>
      <c r="H2" s="1">
        <v>30810</v>
      </c>
      <c r="I2" s="1">
        <v>36669</v>
      </c>
      <c r="J2" s="1">
        <v>30729</v>
      </c>
      <c r="K2" s="1">
        <v>33470</v>
      </c>
      <c r="L2" s="1"/>
      <c r="M2" s="1"/>
      <c r="N2" s="1"/>
      <c r="O2" s="1"/>
      <c r="P2" s="1"/>
      <c r="Q2" s="1"/>
      <c r="R2" s="9">
        <f>SUM(B2:E2)</f>
        <v>127931</v>
      </c>
      <c r="S2" s="9">
        <f>SUM(F2:I2)</f>
        <v>130087</v>
      </c>
      <c r="T2" s="9">
        <f>+S2*(1-$N$6)</f>
        <v>136591.35</v>
      </c>
      <c r="U2" s="9">
        <f t="shared" ref="U2:AJ2" si="1">+T2*(1-$N$6)</f>
        <v>143420.91750000001</v>
      </c>
      <c r="V2" s="9">
        <f t="shared" si="1"/>
        <v>150591.96337500002</v>
      </c>
      <c r="W2" s="9">
        <f t="shared" si="1"/>
        <v>158121.56154375002</v>
      </c>
      <c r="X2" s="9">
        <f t="shared" si="1"/>
        <v>166027.63962093752</v>
      </c>
      <c r="Y2" s="9">
        <f t="shared" si="1"/>
        <v>174329.02160198439</v>
      </c>
      <c r="Z2" s="9">
        <f t="shared" si="1"/>
        <v>183045.47268208361</v>
      </c>
      <c r="AA2" s="9">
        <f t="shared" si="1"/>
        <v>192197.74631618778</v>
      </c>
      <c r="AB2" s="9">
        <f t="shared" si="1"/>
        <v>201807.63363199719</v>
      </c>
      <c r="AC2" s="9">
        <f t="shared" si="1"/>
        <v>211898.01531359705</v>
      </c>
      <c r="AD2" s="9">
        <f t="shared" si="1"/>
        <v>222492.91607927691</v>
      </c>
      <c r="AE2" s="9">
        <f t="shared" si="1"/>
        <v>233617.56188324076</v>
      </c>
      <c r="AF2" s="9">
        <f t="shared" si="1"/>
        <v>245298.4399774028</v>
      </c>
      <c r="AG2" s="9">
        <f t="shared" si="1"/>
        <v>257563.36197627295</v>
      </c>
      <c r="AH2" s="9">
        <f t="shared" si="1"/>
        <v>270441.53007508663</v>
      </c>
      <c r="AI2" s="9">
        <f t="shared" si="1"/>
        <v>283963.60657884099</v>
      </c>
      <c r="AJ2" s="9">
        <f t="shared" si="1"/>
        <v>298161.78690778307</v>
      </c>
      <c r="AK2" s="9" t="s">
        <v>5</v>
      </c>
    </row>
    <row r="3" spans="1:54" s="3" customFormat="1" x14ac:dyDescent="0.25">
      <c r="A3" t="s">
        <v>22</v>
      </c>
      <c r="B3">
        <v>21918</v>
      </c>
      <c r="C3">
        <v>19357</v>
      </c>
      <c r="D3">
        <v>18445</v>
      </c>
      <c r="E3">
        <v>21749</v>
      </c>
      <c r="F3">
        <v>20214</v>
      </c>
      <c r="G3">
        <v>19631</v>
      </c>
      <c r="H3">
        <v>19143</v>
      </c>
      <c r="I3">
        <v>22002</v>
      </c>
      <c r="J3">
        <v>20511</v>
      </c>
      <c r="K3">
        <v>20105</v>
      </c>
      <c r="L3"/>
      <c r="M3"/>
      <c r="N3"/>
      <c r="O3"/>
      <c r="P3"/>
      <c r="Q3"/>
      <c r="R3" s="3">
        <f>SUM(B3:E3)</f>
        <v>81469</v>
      </c>
      <c r="S3" s="3">
        <f>SUM(F3:I3)</f>
        <v>80990</v>
      </c>
      <c r="T3" s="3">
        <f>+S3*1.03</f>
        <v>83419.7</v>
      </c>
      <c r="U3" s="3">
        <f t="shared" ref="U3:AJ3" si="2">+T3*1.03</f>
        <v>85922.290999999997</v>
      </c>
      <c r="V3" s="3">
        <f t="shared" si="2"/>
        <v>88499.959730000002</v>
      </c>
      <c r="W3" s="3">
        <f t="shared" si="2"/>
        <v>91154.9585219</v>
      </c>
      <c r="X3" s="3">
        <f t="shared" si="2"/>
        <v>93889.607277557006</v>
      </c>
      <c r="Y3" s="3">
        <f t="shared" si="2"/>
        <v>96706.295495883722</v>
      </c>
      <c r="Z3" s="3">
        <f t="shared" si="2"/>
        <v>99607.484360760238</v>
      </c>
      <c r="AA3" s="3">
        <f t="shared" si="2"/>
        <v>102595.70889158305</v>
      </c>
      <c r="AB3" s="3">
        <f t="shared" si="2"/>
        <v>105673.58015833054</v>
      </c>
      <c r="AC3" s="3">
        <f t="shared" si="2"/>
        <v>108843.78756308046</v>
      </c>
      <c r="AD3" s="3">
        <f t="shared" si="2"/>
        <v>112109.10118997288</v>
      </c>
      <c r="AE3" s="3">
        <f t="shared" si="2"/>
        <v>115472.37422567207</v>
      </c>
      <c r="AF3" s="3">
        <f t="shared" si="2"/>
        <v>118936.54545244224</v>
      </c>
      <c r="AG3" s="3">
        <f t="shared" si="2"/>
        <v>122504.64181601552</v>
      </c>
      <c r="AH3" s="3">
        <f t="shared" si="2"/>
        <v>126179.78107049598</v>
      </c>
      <c r="AI3" s="3">
        <f t="shared" si="2"/>
        <v>129965.17450261087</v>
      </c>
      <c r="AJ3" s="3">
        <f t="shared" si="2"/>
        <v>133864.12973768919</v>
      </c>
    </row>
    <row r="4" spans="1:54" s="9" customFormat="1" x14ac:dyDescent="0.25">
      <c r="A4" s="1" t="s">
        <v>23</v>
      </c>
      <c r="B4" s="1">
        <f t="shared" ref="B4:K4" si="3">+B2-B3</f>
        <v>10270</v>
      </c>
      <c r="C4" s="1">
        <f t="shared" si="3"/>
        <v>11341</v>
      </c>
      <c r="D4" s="1">
        <f t="shared" si="3"/>
        <v>10679</v>
      </c>
      <c r="E4" s="1">
        <f t="shared" si="3"/>
        <v>14172</v>
      </c>
      <c r="F4" s="1">
        <f t="shared" si="3"/>
        <v>10102</v>
      </c>
      <c r="G4" s="1">
        <f t="shared" si="3"/>
        <v>12661</v>
      </c>
      <c r="H4" s="1">
        <f t="shared" si="3"/>
        <v>11667</v>
      </c>
      <c r="I4" s="1">
        <f t="shared" si="3"/>
        <v>14667</v>
      </c>
      <c r="J4" s="1">
        <f t="shared" si="3"/>
        <v>10218</v>
      </c>
      <c r="K4" s="1">
        <f t="shared" si="3"/>
        <v>13365</v>
      </c>
      <c r="L4" s="1"/>
      <c r="M4" s="1" t="s">
        <v>24</v>
      </c>
      <c r="N4" s="4">
        <v>-0.01</v>
      </c>
      <c r="O4" s="1"/>
      <c r="P4" s="1"/>
      <c r="Q4" s="1"/>
      <c r="R4" s="9">
        <f>+R2-R3</f>
        <v>46462</v>
      </c>
      <c r="S4" s="9">
        <f>+S2-S3</f>
        <v>49097</v>
      </c>
      <c r="T4" s="9">
        <f t="shared" ref="T4" si="4">+T2-T3</f>
        <v>53171.650000000009</v>
      </c>
      <c r="U4" s="9">
        <f t="shared" ref="U4" si="5">+U2-U3</f>
        <v>57498.626500000013</v>
      </c>
      <c r="V4" s="9">
        <f t="shared" ref="V4" si="6">+V2-V3</f>
        <v>62092.003645000019</v>
      </c>
      <c r="W4" s="9">
        <f t="shared" ref="W4" si="7">+W2-W3</f>
        <v>66966.603021850024</v>
      </c>
      <c r="X4" s="9">
        <f t="shared" ref="X4" si="8">+X2-X3</f>
        <v>72138.032343380517</v>
      </c>
      <c r="Y4" s="9">
        <f t="shared" ref="Y4" si="9">+Y2-Y3</f>
        <v>77622.726106100672</v>
      </c>
      <c r="Z4" s="9">
        <f t="shared" ref="Z4" si="10">+Z2-Z3</f>
        <v>83437.98832132337</v>
      </c>
      <c r="AA4" s="9">
        <f t="shared" ref="AA4" si="11">+AA2-AA3</f>
        <v>89602.037424604729</v>
      </c>
      <c r="AB4" s="9">
        <f t="shared" ref="AB4" si="12">+AB2-AB3</f>
        <v>96134.053473666645</v>
      </c>
      <c r="AC4" s="9">
        <f t="shared" ref="AC4" si="13">+AC2-AC3</f>
        <v>103054.22775051658</v>
      </c>
      <c r="AD4" s="9">
        <f t="shared" ref="AD4" si="14">+AD2-AD3</f>
        <v>110383.81488930403</v>
      </c>
      <c r="AE4" s="9">
        <f t="shared" ref="AE4" si="15">+AE2-AE3</f>
        <v>118145.18765756869</v>
      </c>
      <c r="AF4" s="9">
        <f t="shared" ref="AF4" si="16">+AF2-AF3</f>
        <v>126361.89452496056</v>
      </c>
      <c r="AG4" s="9">
        <f t="shared" ref="AG4" si="17">+AG2-AG3</f>
        <v>135058.72016025742</v>
      </c>
      <c r="AH4" s="9">
        <f t="shared" ref="AH4" si="18">+AH2-AH3</f>
        <v>144261.74900459065</v>
      </c>
      <c r="AI4" s="9">
        <f t="shared" ref="AI4" si="19">+AI2-AI3</f>
        <v>153998.43207623012</v>
      </c>
      <c r="AJ4" s="9">
        <f t="shared" ref="AJ4" si="20">+AJ2-AJ3</f>
        <v>164297.65717009388</v>
      </c>
    </row>
    <row r="5" spans="1:54" s="9" customFormat="1" x14ac:dyDescent="0.25">
      <c r="A5" t="s">
        <v>25</v>
      </c>
      <c r="B5">
        <v>1726</v>
      </c>
      <c r="C5">
        <v>2119</v>
      </c>
      <c r="D5">
        <v>2130</v>
      </c>
      <c r="E5">
        <v>1960</v>
      </c>
      <c r="F5">
        <v>2021</v>
      </c>
      <c r="G5">
        <v>1443</v>
      </c>
      <c r="H5">
        <v>1949</v>
      </c>
      <c r="I5">
        <v>1900</v>
      </c>
      <c r="J5">
        <v>1951</v>
      </c>
      <c r="K5">
        <v>1840</v>
      </c>
      <c r="L5" s="1"/>
      <c r="M5" s="1" t="s">
        <v>26</v>
      </c>
      <c r="N5" s="4">
        <v>0.04</v>
      </c>
      <c r="O5" s="1"/>
      <c r="P5" s="1"/>
      <c r="Q5" s="1"/>
      <c r="R5" s="3">
        <f t="shared" ref="R5:R8" si="21">SUM(B5:E5)</f>
        <v>7935</v>
      </c>
      <c r="S5" s="3">
        <f t="shared" ref="S5:S8" si="22">SUM(F5:I5)</f>
        <v>7313</v>
      </c>
      <c r="T5" s="3">
        <f>+S5*1.02</f>
        <v>7459.26</v>
      </c>
      <c r="U5" s="3">
        <f t="shared" ref="U5:AJ5" si="23">+T5*1.02</f>
        <v>7608.4452000000001</v>
      </c>
      <c r="V5" s="3">
        <f t="shared" si="23"/>
        <v>7760.6141040000002</v>
      </c>
      <c r="W5" s="3">
        <f t="shared" si="23"/>
        <v>7915.8263860800007</v>
      </c>
      <c r="X5" s="3">
        <f t="shared" si="23"/>
        <v>8074.142913801601</v>
      </c>
      <c r="Y5" s="3">
        <f t="shared" si="23"/>
        <v>8235.6257720776339</v>
      </c>
      <c r="Z5" s="3">
        <f t="shared" si="23"/>
        <v>8400.3382875191874</v>
      </c>
      <c r="AA5" s="3">
        <f t="shared" si="23"/>
        <v>8568.3450532695715</v>
      </c>
      <c r="AB5" s="3">
        <f t="shared" si="23"/>
        <v>8739.7119543349636</v>
      </c>
      <c r="AC5" s="3">
        <f t="shared" si="23"/>
        <v>8914.5061934216628</v>
      </c>
      <c r="AD5" s="3">
        <f t="shared" si="23"/>
        <v>9092.7963172900963</v>
      </c>
      <c r="AE5" s="3">
        <f t="shared" si="23"/>
        <v>9274.6522436358991</v>
      </c>
      <c r="AF5" s="3">
        <f t="shared" si="23"/>
        <v>9460.1452885086164</v>
      </c>
      <c r="AG5" s="3">
        <f t="shared" si="23"/>
        <v>9649.3481942787894</v>
      </c>
      <c r="AH5" s="3">
        <f t="shared" si="23"/>
        <v>9842.3351581643656</v>
      </c>
      <c r="AI5" s="3">
        <f t="shared" si="23"/>
        <v>10039.181861327654</v>
      </c>
      <c r="AJ5" s="3">
        <f t="shared" si="23"/>
        <v>10239.965498554207</v>
      </c>
    </row>
    <row r="6" spans="1:54" s="3" customFormat="1" x14ac:dyDescent="0.25">
      <c r="A6" t="s">
        <v>27</v>
      </c>
      <c r="B6">
        <v>4291</v>
      </c>
      <c r="C6">
        <v>3819</v>
      </c>
      <c r="D6">
        <v>3143</v>
      </c>
      <c r="E6">
        <v>4441</v>
      </c>
      <c r="F6">
        <v>3630</v>
      </c>
      <c r="G6">
        <v>3730</v>
      </c>
      <c r="H6">
        <v>3493</v>
      </c>
      <c r="I6">
        <v>4758</v>
      </c>
      <c r="J6">
        <v>3992</v>
      </c>
      <c r="K6">
        <v>4499</v>
      </c>
      <c r="L6"/>
      <c r="M6" t="s">
        <v>28</v>
      </c>
      <c r="N6" s="5">
        <v>-0.05</v>
      </c>
      <c r="O6"/>
      <c r="P6"/>
      <c r="Q6"/>
      <c r="R6" s="3">
        <f t="shared" si="21"/>
        <v>15694</v>
      </c>
      <c r="S6" s="3">
        <f t="shared" si="22"/>
        <v>15611</v>
      </c>
      <c r="T6" s="3">
        <f>+S6*1.03</f>
        <v>16079.33</v>
      </c>
      <c r="U6" s="3">
        <f t="shared" ref="U6:AJ8" si="24">+T6*1.03</f>
        <v>16561.709900000002</v>
      </c>
      <c r="V6" s="3">
        <f t="shared" si="24"/>
        <v>17058.561197000003</v>
      </c>
      <c r="W6" s="3">
        <f t="shared" si="24"/>
        <v>17570.318032910003</v>
      </c>
      <c r="X6" s="3">
        <f t="shared" si="24"/>
        <v>18097.427573897305</v>
      </c>
      <c r="Y6" s="3">
        <f t="shared" si="24"/>
        <v>18640.350401114225</v>
      </c>
      <c r="Z6" s="3">
        <f t="shared" si="24"/>
        <v>19199.560913147652</v>
      </c>
      <c r="AA6" s="3">
        <f t="shared" si="24"/>
        <v>19775.547740542082</v>
      </c>
      <c r="AB6" s="3">
        <f t="shared" si="24"/>
        <v>20368.814172758346</v>
      </c>
      <c r="AC6" s="3">
        <f t="shared" si="24"/>
        <v>20979.878597941097</v>
      </c>
      <c r="AD6" s="3">
        <f t="shared" si="24"/>
        <v>21609.274955879329</v>
      </c>
      <c r="AE6" s="3">
        <f t="shared" si="24"/>
        <v>22257.553204555708</v>
      </c>
      <c r="AF6" s="3">
        <f t="shared" si="24"/>
        <v>22925.27980069238</v>
      </c>
      <c r="AG6" s="3">
        <f t="shared" si="24"/>
        <v>23613.038194713154</v>
      </c>
      <c r="AH6" s="3">
        <f t="shared" si="24"/>
        <v>24321.42934055455</v>
      </c>
      <c r="AI6" s="3">
        <f t="shared" si="24"/>
        <v>25051.072220771188</v>
      </c>
      <c r="AJ6" s="3">
        <f t="shared" si="24"/>
        <v>25802.604387394324</v>
      </c>
    </row>
    <row r="7" spans="1:54" s="3" customFormat="1" x14ac:dyDescent="0.25">
      <c r="A7" t="s">
        <v>29</v>
      </c>
      <c r="B7">
        <v>1169</v>
      </c>
      <c r="C7">
        <v>1259</v>
      </c>
      <c r="D7">
        <v>1488</v>
      </c>
      <c r="E7">
        <v>1497</v>
      </c>
      <c r="F7">
        <v>1869</v>
      </c>
      <c r="G7">
        <v>1006</v>
      </c>
      <c r="H7">
        <v>1289</v>
      </c>
      <c r="I7">
        <v>1586</v>
      </c>
      <c r="J7">
        <v>1942</v>
      </c>
      <c r="K7">
        <v>1827</v>
      </c>
      <c r="L7"/>
      <c r="M7" t="s">
        <v>30</v>
      </c>
      <c r="N7" s="5">
        <v>0.09</v>
      </c>
      <c r="O7"/>
      <c r="P7"/>
      <c r="Q7"/>
      <c r="R7" s="3">
        <f t="shared" si="21"/>
        <v>5413</v>
      </c>
      <c r="S7" s="3">
        <f t="shared" si="22"/>
        <v>5750</v>
      </c>
      <c r="T7" s="3">
        <f t="shared" ref="T7:AI8" si="25">+S7*1.03</f>
        <v>5922.5</v>
      </c>
      <c r="U7" s="3">
        <f t="shared" si="25"/>
        <v>6100.1750000000002</v>
      </c>
      <c r="V7" s="3">
        <f t="shared" si="25"/>
        <v>6283.1802500000003</v>
      </c>
      <c r="W7" s="3">
        <f t="shared" si="25"/>
        <v>6471.6756575000009</v>
      </c>
      <c r="X7" s="3">
        <f t="shared" si="25"/>
        <v>6665.8259272250007</v>
      </c>
      <c r="Y7" s="3">
        <f t="shared" si="25"/>
        <v>6865.8007050417509</v>
      </c>
      <c r="Z7" s="3">
        <f t="shared" si="25"/>
        <v>7071.7747261930035</v>
      </c>
      <c r="AA7" s="3">
        <f t="shared" si="25"/>
        <v>7283.9279679787942</v>
      </c>
      <c r="AB7" s="3">
        <f t="shared" si="25"/>
        <v>7502.4458070181581</v>
      </c>
      <c r="AC7" s="3">
        <f t="shared" si="25"/>
        <v>7727.519181228703</v>
      </c>
      <c r="AD7" s="3">
        <f t="shared" si="25"/>
        <v>7959.3447566655641</v>
      </c>
      <c r="AE7" s="3">
        <f t="shared" si="25"/>
        <v>8198.1250993655303</v>
      </c>
      <c r="AF7" s="3">
        <f t="shared" si="25"/>
        <v>8444.068852346496</v>
      </c>
      <c r="AG7" s="3">
        <f t="shared" si="25"/>
        <v>8697.3909179168913</v>
      </c>
      <c r="AH7" s="3">
        <f t="shared" si="25"/>
        <v>8958.3126454543981</v>
      </c>
      <c r="AI7" s="3">
        <f t="shared" si="25"/>
        <v>9227.0620248180294</v>
      </c>
      <c r="AJ7" s="3">
        <f t="shared" si="24"/>
        <v>9503.8738855625706</v>
      </c>
    </row>
    <row r="8" spans="1:54" s="3" customFormat="1" x14ac:dyDescent="0.25">
      <c r="A8" t="s">
        <v>31</v>
      </c>
      <c r="B8">
        <v>447</v>
      </c>
      <c r="C8">
        <v>411</v>
      </c>
      <c r="D8">
        <v>384</v>
      </c>
      <c r="E8">
        <f>801+394</f>
        <v>1195</v>
      </c>
      <c r="F8">
        <v>363</v>
      </c>
      <c r="G8">
        <f>342+280</f>
        <v>622</v>
      </c>
      <c r="H8">
        <v>333</v>
      </c>
      <c r="I8">
        <f>2056+1196</f>
        <v>3252</v>
      </c>
      <c r="J8">
        <v>288</v>
      </c>
      <c r="K8">
        <v>247</v>
      </c>
      <c r="L8"/>
      <c r="M8" t="s">
        <v>32</v>
      </c>
      <c r="N8" s="7">
        <f>NPV(N7,T15:BB15)</f>
        <v>655976.99828895065</v>
      </c>
      <c r="O8"/>
      <c r="P8"/>
      <c r="Q8"/>
      <c r="R8" s="3">
        <f t="shared" si="21"/>
        <v>2437</v>
      </c>
      <c r="S8" s="3">
        <f t="shared" si="22"/>
        <v>4570</v>
      </c>
      <c r="T8" s="3">
        <f t="shared" si="25"/>
        <v>4707.1000000000004</v>
      </c>
      <c r="U8" s="3">
        <f t="shared" si="24"/>
        <v>4848.3130000000001</v>
      </c>
      <c r="V8" s="3">
        <f t="shared" si="24"/>
        <v>4993.7623899999999</v>
      </c>
      <c r="W8" s="3">
        <f t="shared" si="24"/>
        <v>5143.5752616999998</v>
      </c>
      <c r="X8" s="3">
        <f t="shared" si="24"/>
        <v>5297.8825195509999</v>
      </c>
      <c r="Y8" s="3">
        <f t="shared" si="24"/>
        <v>5456.8189951375298</v>
      </c>
      <c r="Z8" s="3">
        <f t="shared" si="24"/>
        <v>5620.5235649916558</v>
      </c>
      <c r="AA8" s="3">
        <f t="shared" si="24"/>
        <v>5789.1392719414052</v>
      </c>
      <c r="AB8" s="3">
        <f t="shared" si="24"/>
        <v>5962.8134500996475</v>
      </c>
      <c r="AC8" s="3">
        <f t="shared" si="24"/>
        <v>6141.6978536026372</v>
      </c>
      <c r="AD8" s="3">
        <f t="shared" si="24"/>
        <v>6325.9487892107163</v>
      </c>
      <c r="AE8" s="3">
        <f t="shared" si="24"/>
        <v>6515.727252887038</v>
      </c>
      <c r="AF8" s="3">
        <f t="shared" si="24"/>
        <v>6711.199070473649</v>
      </c>
      <c r="AG8" s="3">
        <f t="shared" si="24"/>
        <v>6912.5350425878587</v>
      </c>
      <c r="AH8" s="3">
        <f t="shared" si="24"/>
        <v>7119.9110938654949</v>
      </c>
      <c r="AI8" s="3">
        <f t="shared" si="24"/>
        <v>7333.5084266814602</v>
      </c>
      <c r="AJ8" s="3">
        <f t="shared" si="24"/>
        <v>7553.5136794819045</v>
      </c>
    </row>
    <row r="9" spans="1:54" s="3" customFormat="1" x14ac:dyDescent="0.25">
      <c r="A9" t="s">
        <v>33</v>
      </c>
      <c r="B9">
        <f t="shared" ref="B9:K9" si="26">+B5+B6+B7+B8</f>
        <v>7633</v>
      </c>
      <c r="C9">
        <f t="shared" si="26"/>
        <v>7608</v>
      </c>
      <c r="D9">
        <f t="shared" si="26"/>
        <v>7145</v>
      </c>
      <c r="E9">
        <f t="shared" si="26"/>
        <v>9093</v>
      </c>
      <c r="F9">
        <f t="shared" si="26"/>
        <v>7883</v>
      </c>
      <c r="G9">
        <f t="shared" si="26"/>
        <v>6801</v>
      </c>
      <c r="H9">
        <f t="shared" si="26"/>
        <v>7064</v>
      </c>
      <c r="I9">
        <f t="shared" si="26"/>
        <v>11496</v>
      </c>
      <c r="J9">
        <f t="shared" si="26"/>
        <v>8173</v>
      </c>
      <c r="K9">
        <f t="shared" si="26"/>
        <v>8413</v>
      </c>
      <c r="L9"/>
      <c r="M9" t="s">
        <v>34</v>
      </c>
      <c r="N9" s="3">
        <f>+N8-main!L5+main!L6</f>
        <v>522477.99828895065</v>
      </c>
      <c r="O9"/>
      <c r="P9"/>
      <c r="Q9"/>
      <c r="R9" s="3">
        <f>+R5+R6+R7+R8</f>
        <v>31479</v>
      </c>
      <c r="S9" s="3">
        <f>+S5+S6+S7+S8</f>
        <v>33244</v>
      </c>
      <c r="T9" s="3">
        <f>+T5+T6+T7+T8</f>
        <v>34168.19</v>
      </c>
      <c r="U9" s="3">
        <f t="shared" ref="U9:AJ9" si="27">+U5+U6+U7+U8</f>
        <v>35118.643100000001</v>
      </c>
      <c r="V9" s="3">
        <f t="shared" si="27"/>
        <v>36096.117941000004</v>
      </c>
      <c r="W9" s="3">
        <f t="shared" si="27"/>
        <v>37101.395338190006</v>
      </c>
      <c r="X9" s="3">
        <f t="shared" si="27"/>
        <v>38135.278934474904</v>
      </c>
      <c r="Y9" s="3">
        <f t="shared" si="27"/>
        <v>39198.595873371138</v>
      </c>
      <c r="Z9" s="3">
        <f t="shared" si="27"/>
        <v>40292.197491851504</v>
      </c>
      <c r="AA9" s="3">
        <f t="shared" si="27"/>
        <v>41416.960033731855</v>
      </c>
      <c r="AB9" s="3">
        <f t="shared" si="27"/>
        <v>42573.785384211114</v>
      </c>
      <c r="AC9" s="3">
        <f t="shared" si="27"/>
        <v>43763.601826194099</v>
      </c>
      <c r="AD9" s="3">
        <f t="shared" si="27"/>
        <v>44987.364819045702</v>
      </c>
      <c r="AE9" s="3">
        <f t="shared" si="27"/>
        <v>46246.057800444178</v>
      </c>
      <c r="AF9" s="3">
        <f t="shared" si="27"/>
        <v>47540.693012021147</v>
      </c>
      <c r="AG9" s="3">
        <f t="shared" si="27"/>
        <v>48872.312349496693</v>
      </c>
      <c r="AH9" s="3">
        <f t="shared" si="27"/>
        <v>50241.988238038801</v>
      </c>
      <c r="AI9" s="3">
        <f t="shared" si="27"/>
        <v>51650.82453359833</v>
      </c>
      <c r="AJ9" s="3">
        <f t="shared" si="27"/>
        <v>53099.957450993003</v>
      </c>
    </row>
    <row r="10" spans="1:54" s="9" customFormat="1" x14ac:dyDescent="0.25">
      <c r="A10" s="1" t="s">
        <v>35</v>
      </c>
      <c r="B10" s="1">
        <f t="shared" ref="B10:K10" si="28">+B4-B9</f>
        <v>2637</v>
      </c>
      <c r="C10" s="1">
        <f t="shared" si="28"/>
        <v>3733</v>
      </c>
      <c r="D10" s="1">
        <f t="shared" si="28"/>
        <v>3534</v>
      </c>
      <c r="E10" s="1">
        <f t="shared" si="28"/>
        <v>5079</v>
      </c>
      <c r="F10" s="1">
        <f t="shared" si="28"/>
        <v>2219</v>
      </c>
      <c r="G10" s="1">
        <f t="shared" si="28"/>
        <v>5860</v>
      </c>
      <c r="H10" s="1">
        <f t="shared" si="28"/>
        <v>4603</v>
      </c>
      <c r="I10" s="1">
        <f t="shared" si="28"/>
        <v>3171</v>
      </c>
      <c r="J10" s="1">
        <f t="shared" si="28"/>
        <v>2045</v>
      </c>
      <c r="K10" s="1">
        <f t="shared" si="28"/>
        <v>4952</v>
      </c>
      <c r="L10" s="1"/>
      <c r="M10" s="1" t="s">
        <v>36</v>
      </c>
      <c r="N10" s="1">
        <f>+N9/main!L3</f>
        <v>219.7132036538901</v>
      </c>
      <c r="O10" s="1"/>
      <c r="P10" s="1"/>
      <c r="Q10" s="1"/>
      <c r="R10" s="9">
        <f>+R4-R9</f>
        <v>14983</v>
      </c>
      <c r="S10" s="9">
        <f>+S4-S9</f>
        <v>15853</v>
      </c>
      <c r="T10" s="9">
        <f>+T4-T9</f>
        <v>19003.460000000006</v>
      </c>
      <c r="U10" s="9">
        <f t="shared" ref="U10:AJ10" si="29">+U4-U9</f>
        <v>22379.983400000012</v>
      </c>
      <c r="V10" s="9">
        <f t="shared" si="29"/>
        <v>25995.885704000015</v>
      </c>
      <c r="W10" s="9">
        <f t="shared" si="29"/>
        <v>29865.207683660017</v>
      </c>
      <c r="X10" s="9">
        <f t="shared" si="29"/>
        <v>34002.753408905613</v>
      </c>
      <c r="Y10" s="9">
        <f t="shared" si="29"/>
        <v>38424.130232729534</v>
      </c>
      <c r="Z10" s="9">
        <f t="shared" si="29"/>
        <v>43145.790829471865</v>
      </c>
      <c r="AA10" s="9">
        <f t="shared" si="29"/>
        <v>48185.077390872873</v>
      </c>
      <c r="AB10" s="9">
        <f t="shared" si="29"/>
        <v>53560.268089455531</v>
      </c>
      <c r="AC10" s="9">
        <f t="shared" si="29"/>
        <v>59290.625924322485</v>
      </c>
      <c r="AD10" s="9">
        <f t="shared" si="29"/>
        <v>65396.450070258332</v>
      </c>
      <c r="AE10" s="9">
        <f t="shared" si="29"/>
        <v>71899.129857124513</v>
      </c>
      <c r="AF10" s="9">
        <f t="shared" si="29"/>
        <v>78821.201512939413</v>
      </c>
      <c r="AG10" s="9">
        <f t="shared" si="29"/>
        <v>86186.40781076072</v>
      </c>
      <c r="AH10" s="9">
        <f t="shared" si="29"/>
        <v>94019.760766551844</v>
      </c>
      <c r="AI10" s="9">
        <f t="shared" si="29"/>
        <v>102347.6075426318</v>
      </c>
      <c r="AJ10" s="9">
        <f t="shared" si="29"/>
        <v>111197.69971910087</v>
      </c>
    </row>
    <row r="11" spans="1:54" s="3" customFormat="1" x14ac:dyDescent="0.25">
      <c r="A11" t="s">
        <v>37</v>
      </c>
      <c r="B11">
        <f>-5791-188+256</f>
        <v>-5723</v>
      </c>
      <c r="C11">
        <f>802-186+16</f>
        <v>632</v>
      </c>
      <c r="D11">
        <f>-5968-195+414</f>
        <v>-5749</v>
      </c>
      <c r="E11">
        <f>2250-225+212</f>
        <v>2237</v>
      </c>
      <c r="F11">
        <f>1528-253+191</f>
        <v>1466</v>
      </c>
      <c r="G11">
        <f>-814-246+188</f>
        <v>-872</v>
      </c>
      <c r="H11">
        <f>704-254+191</f>
        <v>641</v>
      </c>
      <c r="I11">
        <f>-493-301+62</f>
        <v>-732</v>
      </c>
      <c r="J11">
        <f>-790-301+410</f>
        <v>-681</v>
      </c>
      <c r="K11">
        <f>-203-301+35</f>
        <v>-469</v>
      </c>
      <c r="L11"/>
      <c r="M11" t="s">
        <v>38</v>
      </c>
      <c r="N11" s="5">
        <f>+N10/main!L2-1</f>
        <v>0.92730880398149207</v>
      </c>
      <c r="O11"/>
      <c r="P11"/>
      <c r="Q11"/>
      <c r="R11" s="3">
        <f t="shared" ref="R11:R14" si="30">SUM(B11:E11)</f>
        <v>-8603</v>
      </c>
      <c r="S11" s="3">
        <f t="shared" ref="S11:S14" si="31">SUM(F11:I11)</f>
        <v>503</v>
      </c>
      <c r="T11" s="10">
        <f>+S29*$N$5</f>
        <v>5821</v>
      </c>
      <c r="U11" s="10">
        <f>+T29*$N$5</f>
        <v>6615.3827200000005</v>
      </c>
      <c r="V11" s="10">
        <f t="shared" ref="V11:AJ11" si="32">+U29*$N$5</f>
        <v>7543.2344358400005</v>
      </c>
      <c r="W11" s="10">
        <f t="shared" si="32"/>
        <v>8616.4862803148808</v>
      </c>
      <c r="X11" s="10">
        <f t="shared" si="32"/>
        <v>9847.9004871620782</v>
      </c>
      <c r="Y11" s="10">
        <f t="shared" si="32"/>
        <v>11251.121411836242</v>
      </c>
      <c r="Z11" s="10">
        <f t="shared" si="32"/>
        <v>12840.729464462349</v>
      </c>
      <c r="AA11" s="10">
        <f t="shared" si="32"/>
        <v>14632.298113868244</v>
      </c>
      <c r="AB11" s="10">
        <f t="shared" si="32"/>
        <v>16642.45413001996</v>
      </c>
      <c r="AC11" s="10">
        <f t="shared" si="32"/>
        <v>18888.941241043176</v>
      </c>
      <c r="AD11" s="10">
        <f t="shared" si="32"/>
        <v>21390.687390334875</v>
      </c>
      <c r="AE11" s="10">
        <f t="shared" si="32"/>
        <v>24167.87578907386</v>
      </c>
      <c r="AF11" s="10">
        <f t="shared" si="32"/>
        <v>27242.019969752208</v>
      </c>
      <c r="AG11" s="10">
        <f t="shared" si="32"/>
        <v>30636.043057198338</v>
      </c>
      <c r="AH11" s="10">
        <f t="shared" si="32"/>
        <v>34374.361484973029</v>
      </c>
      <c r="AI11" s="10">
        <f t="shared" si="32"/>
        <v>38482.973397021822</v>
      </c>
      <c r="AJ11" s="10">
        <f t="shared" si="32"/>
        <v>42989.551987090745</v>
      </c>
    </row>
    <row r="12" spans="1:54" s="3" customFormat="1" ht="16.5" customHeight="1" x14ac:dyDescent="0.25">
      <c r="A12" t="s">
        <v>39</v>
      </c>
      <c r="B12">
        <f t="shared" ref="B12:K12" si="33">+B10+B11</f>
        <v>-3086</v>
      </c>
      <c r="C12">
        <f t="shared" si="33"/>
        <v>4365</v>
      </c>
      <c r="D12">
        <f t="shared" si="33"/>
        <v>-2215</v>
      </c>
      <c r="E12">
        <f t="shared" si="33"/>
        <v>7316</v>
      </c>
      <c r="F12">
        <f t="shared" si="33"/>
        <v>3685</v>
      </c>
      <c r="G12">
        <f t="shared" si="33"/>
        <v>4988</v>
      </c>
      <c r="H12">
        <f t="shared" si="33"/>
        <v>5244</v>
      </c>
      <c r="I12">
        <f t="shared" si="33"/>
        <v>2439</v>
      </c>
      <c r="J12">
        <f t="shared" si="33"/>
        <v>1364</v>
      </c>
      <c r="K12">
        <f t="shared" si="33"/>
        <v>4483</v>
      </c>
      <c r="L12"/>
      <c r="M12"/>
      <c r="N12" s="6" t="s">
        <v>40</v>
      </c>
      <c r="O12"/>
      <c r="P12"/>
      <c r="Q12"/>
      <c r="R12" s="3">
        <f>+R10+R11</f>
        <v>6380</v>
      </c>
      <c r="S12" s="3">
        <f>+S10+S11</f>
        <v>16356</v>
      </c>
      <c r="T12" s="3">
        <f>+T10+T11</f>
        <v>24824.460000000006</v>
      </c>
      <c r="U12" s="3">
        <f t="shared" ref="U12:AJ12" si="34">+U10+U11</f>
        <v>28995.366120000013</v>
      </c>
      <c r="V12" s="3">
        <f t="shared" si="34"/>
        <v>33539.120139840015</v>
      </c>
      <c r="W12" s="3">
        <f t="shared" si="34"/>
        <v>38481.693963974896</v>
      </c>
      <c r="X12" s="3">
        <f t="shared" si="34"/>
        <v>43850.653896067692</v>
      </c>
      <c r="Y12" s="3">
        <f t="shared" si="34"/>
        <v>49675.251644565775</v>
      </c>
      <c r="Z12" s="3">
        <f t="shared" si="34"/>
        <v>55986.520293934213</v>
      </c>
      <c r="AA12" s="3">
        <f t="shared" si="34"/>
        <v>62817.375504741118</v>
      </c>
      <c r="AB12" s="3">
        <f t="shared" si="34"/>
        <v>70202.722219475487</v>
      </c>
      <c r="AC12" s="3">
        <f t="shared" si="34"/>
        <v>78179.567165365661</v>
      </c>
      <c r="AD12" s="3">
        <f t="shared" si="34"/>
        <v>86787.137460593207</v>
      </c>
      <c r="AE12" s="3">
        <f t="shared" si="34"/>
        <v>96067.005646198377</v>
      </c>
      <c r="AF12" s="3">
        <f t="shared" si="34"/>
        <v>106063.22148269162</v>
      </c>
      <c r="AG12" s="3">
        <f t="shared" si="34"/>
        <v>116822.45086795907</v>
      </c>
      <c r="AH12" s="3">
        <f t="shared" si="34"/>
        <v>128394.12225152488</v>
      </c>
      <c r="AI12" s="3">
        <f t="shared" si="34"/>
        <v>140830.58093965362</v>
      </c>
      <c r="AJ12" s="3">
        <f t="shared" si="34"/>
        <v>154187.25170619163</v>
      </c>
    </row>
    <row r="13" spans="1:54" s="3" customFormat="1" x14ac:dyDescent="0.25">
      <c r="A13" t="s">
        <v>41</v>
      </c>
      <c r="B13">
        <v>328</v>
      </c>
      <c r="C13">
        <v>806</v>
      </c>
      <c r="D13">
        <v>362</v>
      </c>
      <c r="E13">
        <v>554</v>
      </c>
      <c r="F13">
        <v>547</v>
      </c>
      <c r="G13">
        <v>830</v>
      </c>
      <c r="H13">
        <v>795</v>
      </c>
      <c r="I13">
        <v>702</v>
      </c>
      <c r="J13">
        <v>793</v>
      </c>
      <c r="K13">
        <v>1384</v>
      </c>
      <c r="L13"/>
      <c r="M13"/>
      <c r="N13"/>
      <c r="O13"/>
      <c r="P13"/>
      <c r="Q13"/>
      <c r="R13" s="3">
        <f t="shared" si="30"/>
        <v>2050</v>
      </c>
      <c r="S13" s="3">
        <f t="shared" si="31"/>
        <v>2874</v>
      </c>
      <c r="T13" s="3">
        <f>+T12*0.2</f>
        <v>4964.8920000000016</v>
      </c>
      <c r="U13" s="3">
        <f t="shared" ref="U13:AJ13" si="35">+U12*0.2</f>
        <v>5799.0732240000034</v>
      </c>
      <c r="V13" s="3">
        <f t="shared" si="35"/>
        <v>6707.8240279680031</v>
      </c>
      <c r="W13" s="3">
        <f t="shared" si="35"/>
        <v>7696.3387927949798</v>
      </c>
      <c r="X13" s="3">
        <f t="shared" si="35"/>
        <v>8770.1307792135394</v>
      </c>
      <c r="Y13" s="3">
        <f t="shared" si="35"/>
        <v>9935.0503289131557</v>
      </c>
      <c r="Z13" s="3">
        <f t="shared" si="35"/>
        <v>11197.304058786844</v>
      </c>
      <c r="AA13" s="3">
        <f t="shared" si="35"/>
        <v>12563.475100948224</v>
      </c>
      <c r="AB13" s="3">
        <f t="shared" si="35"/>
        <v>14040.544443895098</v>
      </c>
      <c r="AC13" s="3">
        <f t="shared" si="35"/>
        <v>15635.913433073132</v>
      </c>
      <c r="AD13" s="3">
        <f t="shared" si="35"/>
        <v>17357.427492118641</v>
      </c>
      <c r="AE13" s="3">
        <f t="shared" si="35"/>
        <v>19213.401129239675</v>
      </c>
      <c r="AF13" s="3">
        <f t="shared" si="35"/>
        <v>21212.644296538325</v>
      </c>
      <c r="AG13" s="3">
        <f t="shared" si="35"/>
        <v>23364.490173591814</v>
      </c>
      <c r="AH13" s="3">
        <f t="shared" si="35"/>
        <v>25678.824450304979</v>
      </c>
      <c r="AI13" s="3">
        <f t="shared" si="35"/>
        <v>28166.116187930726</v>
      </c>
      <c r="AJ13" s="3">
        <f t="shared" si="35"/>
        <v>30837.450341238327</v>
      </c>
    </row>
    <row r="14" spans="1:54" s="3" customFormat="1" x14ac:dyDescent="0.25">
      <c r="A14" t="s">
        <v>42</v>
      </c>
      <c r="B14">
        <v>518</v>
      </c>
      <c r="C14">
        <v>-520</v>
      </c>
      <c r="D14">
        <v>-581</v>
      </c>
      <c r="E14">
        <v>-129</v>
      </c>
      <c r="F14">
        <v>65</v>
      </c>
      <c r="G14">
        <v>393</v>
      </c>
      <c r="H14">
        <v>-790</v>
      </c>
      <c r="I14">
        <v>-228</v>
      </c>
      <c r="J14">
        <v>-444</v>
      </c>
      <c r="K14">
        <v>207</v>
      </c>
      <c r="L14"/>
      <c r="M14"/>
      <c r="N14"/>
      <c r="O14"/>
      <c r="P14"/>
      <c r="Q14"/>
      <c r="R14" s="3">
        <f t="shared" si="30"/>
        <v>-712</v>
      </c>
      <c r="S14" s="3">
        <f t="shared" si="31"/>
        <v>-560</v>
      </c>
    </row>
    <row r="15" spans="1:54" s="9" customFormat="1" x14ac:dyDescent="0.25">
      <c r="A15" s="1" t="s">
        <v>43</v>
      </c>
      <c r="B15" s="1">
        <f t="shared" ref="B15:K15" si="36">+B12-B13+B14</f>
        <v>-2896</v>
      </c>
      <c r="C15" s="1">
        <f t="shared" si="36"/>
        <v>3039</v>
      </c>
      <c r="D15" s="1">
        <f t="shared" si="36"/>
        <v>-3158</v>
      </c>
      <c r="E15" s="1">
        <f t="shared" si="36"/>
        <v>6633</v>
      </c>
      <c r="F15" s="1">
        <f t="shared" si="36"/>
        <v>3203</v>
      </c>
      <c r="G15" s="1">
        <f t="shared" si="36"/>
        <v>4551</v>
      </c>
      <c r="H15" s="1">
        <f t="shared" si="36"/>
        <v>3659</v>
      </c>
      <c r="I15" s="1">
        <f t="shared" si="36"/>
        <v>1509</v>
      </c>
      <c r="J15" s="1">
        <f t="shared" si="36"/>
        <v>127</v>
      </c>
      <c r="K15" s="1">
        <f t="shared" si="36"/>
        <v>3306</v>
      </c>
      <c r="L15" s="1"/>
      <c r="M15" s="1"/>
      <c r="N15" s="1"/>
      <c r="O15" s="1"/>
      <c r="P15" s="1"/>
      <c r="Q15" s="1"/>
      <c r="R15" s="9">
        <f>+R12-R13+R14</f>
        <v>3618</v>
      </c>
      <c r="S15" s="9">
        <f>+S12-S13+S14</f>
        <v>12922</v>
      </c>
      <c r="T15" s="9">
        <f>+T12-T13+T14</f>
        <v>19859.568000000007</v>
      </c>
      <c r="U15" s="9">
        <f t="shared" ref="U15:AJ15" si="37">+U12-U13+U14</f>
        <v>23196.29289600001</v>
      </c>
      <c r="V15" s="9">
        <f t="shared" si="37"/>
        <v>26831.296111872012</v>
      </c>
      <c r="W15" s="9">
        <f t="shared" si="37"/>
        <v>30785.355171179915</v>
      </c>
      <c r="X15" s="9">
        <f t="shared" si="37"/>
        <v>35080.52311685415</v>
      </c>
      <c r="Y15" s="9">
        <f t="shared" si="37"/>
        <v>39740.201315652623</v>
      </c>
      <c r="Z15" s="9">
        <f t="shared" si="37"/>
        <v>44789.216235147367</v>
      </c>
      <c r="AA15" s="9">
        <f t="shared" si="37"/>
        <v>50253.900403792897</v>
      </c>
      <c r="AB15" s="9">
        <f t="shared" si="37"/>
        <v>56162.177775580392</v>
      </c>
      <c r="AC15" s="9">
        <f t="shared" si="37"/>
        <v>62543.653732292529</v>
      </c>
      <c r="AD15" s="9">
        <f t="shared" si="37"/>
        <v>69429.709968474563</v>
      </c>
      <c r="AE15" s="9">
        <f t="shared" si="37"/>
        <v>76853.604516958701</v>
      </c>
      <c r="AF15" s="9">
        <f t="shared" si="37"/>
        <v>84850.577186153299</v>
      </c>
      <c r="AG15" s="9">
        <f t="shared" si="37"/>
        <v>93457.960694367255</v>
      </c>
      <c r="AH15" s="9">
        <f t="shared" si="37"/>
        <v>102715.2978012199</v>
      </c>
      <c r="AI15" s="9">
        <f t="shared" si="37"/>
        <v>112664.4647517229</v>
      </c>
      <c r="AJ15" s="9">
        <f t="shared" si="37"/>
        <v>123349.80136495331</v>
      </c>
      <c r="AK15" s="9">
        <f>+AJ15*(1+$N$4)</f>
        <v>122116.30335130378</v>
      </c>
      <c r="AL15" s="9">
        <f t="shared" ref="AL15:BB15" si="38">+AK15*(1+$N$4)</f>
        <v>120895.14031779075</v>
      </c>
      <c r="AM15" s="9">
        <f t="shared" si="38"/>
        <v>119686.18891461284</v>
      </c>
      <c r="AN15" s="9">
        <f t="shared" si="38"/>
        <v>118489.32702546671</v>
      </c>
      <c r="AO15" s="9">
        <f t="shared" si="38"/>
        <v>117304.43375521204</v>
      </c>
      <c r="AP15" s="9">
        <f t="shared" si="38"/>
        <v>116131.38941765991</v>
      </c>
      <c r="AQ15" s="9">
        <f t="shared" si="38"/>
        <v>114970.07552348332</v>
      </c>
      <c r="AR15" s="9">
        <f t="shared" si="38"/>
        <v>113820.37476824848</v>
      </c>
      <c r="AS15" s="9">
        <f t="shared" si="38"/>
        <v>112682.17102056599</v>
      </c>
      <c r="AT15" s="9">
        <f t="shared" si="38"/>
        <v>111555.34931036033</v>
      </c>
      <c r="AU15" s="9">
        <f t="shared" si="38"/>
        <v>110439.79581725672</v>
      </c>
      <c r="AV15" s="9">
        <f t="shared" si="38"/>
        <v>109335.39785908414</v>
      </c>
      <c r="AW15" s="9">
        <f t="shared" si="38"/>
        <v>108242.04388049331</v>
      </c>
      <c r="AX15" s="9">
        <f t="shared" si="38"/>
        <v>107159.62344168837</v>
      </c>
      <c r="AY15" s="9">
        <f t="shared" si="38"/>
        <v>106088.02720727149</v>
      </c>
      <c r="AZ15" s="9">
        <f t="shared" si="38"/>
        <v>105027.14693519878</v>
      </c>
      <c r="BA15" s="9">
        <f t="shared" si="38"/>
        <v>103976.87546584678</v>
      </c>
      <c r="BB15" s="9">
        <f t="shared" si="38"/>
        <v>102937.10671118832</v>
      </c>
    </row>
    <row r="16" spans="1:54" s="3" customFormat="1" x14ac:dyDescent="0.25">
      <c r="A16" t="s">
        <v>44</v>
      </c>
      <c r="B16">
        <f t="shared" ref="B16:K16" si="39">+B15/B17</f>
        <v>-0.13532077940283163</v>
      </c>
      <c r="C16">
        <f t="shared" si="39"/>
        <v>0.14359289359289359</v>
      </c>
      <c r="D16">
        <f t="shared" si="39"/>
        <v>-0.14921564921564923</v>
      </c>
      <c r="E16">
        <f t="shared" si="39"/>
        <v>0.31881759192501802</v>
      </c>
      <c r="F16">
        <f t="shared" si="39"/>
        <v>0.15510144787177377</v>
      </c>
      <c r="G16">
        <f t="shared" si="39"/>
        <v>0.22207583077148293</v>
      </c>
      <c r="H16">
        <f t="shared" si="39"/>
        <v>0.17993607081386773</v>
      </c>
      <c r="I16">
        <f t="shared" si="39"/>
        <v>7.4932962558347402E-2</v>
      </c>
      <c r="J16">
        <f t="shared" si="39"/>
        <v>6.4261498760309673E-3</v>
      </c>
      <c r="K16">
        <f t="shared" si="39"/>
        <v>0.17103833617879868</v>
      </c>
      <c r="L16"/>
      <c r="M16"/>
      <c r="N16"/>
      <c r="O16"/>
      <c r="P16"/>
      <c r="Q16"/>
      <c r="R16" s="3">
        <f>+R15/R17</f>
        <v>0.17119738803321741</v>
      </c>
      <c r="S16" s="3">
        <f>+S15/S17</f>
        <v>0.63329943516669318</v>
      </c>
      <c r="T16" s="3">
        <f>+T15/T17</f>
        <v>0.97330546332259238</v>
      </c>
      <c r="U16" s="3">
        <f t="shared" ref="U16:AJ16" si="40">+U15/U17</f>
        <v>1.1368363402722477</v>
      </c>
      <c r="V16" s="3">
        <f t="shared" si="40"/>
        <v>1.3149856579816466</v>
      </c>
      <c r="W16" s="3">
        <f t="shared" si="40"/>
        <v>1.5087717103632781</v>
      </c>
      <c r="X16" s="3">
        <f t="shared" si="40"/>
        <v>1.7192753037653503</v>
      </c>
      <c r="Y16" s="3">
        <f t="shared" si="40"/>
        <v>1.9476433250745615</v>
      </c>
      <c r="Z16" s="3">
        <f t="shared" si="40"/>
        <v>2.1950925045099607</v>
      </c>
      <c r="AA16" s="3">
        <f t="shared" si="40"/>
        <v>2.4629133834271242</v>
      </c>
      <c r="AB16" s="3">
        <f t="shared" si="40"/>
        <v>2.7524744979884286</v>
      </c>
      <c r="AC16" s="3">
        <f t="shared" si="40"/>
        <v>3.0652267901193393</v>
      </c>
      <c r="AD16" s="3">
        <f t="shared" si="40"/>
        <v>3.4027082577636798</v>
      </c>
      <c r="AE16" s="3">
        <f t="shared" si="40"/>
        <v>3.7665488570743202</v>
      </c>
      <c r="AF16" s="3">
        <f t="shared" si="40"/>
        <v>4.1584756698312022</v>
      </c>
      <c r="AG16" s="3">
        <f t="shared" si="40"/>
        <v>4.5803183500676212</v>
      </c>
      <c r="AH16" s="3">
        <f t="shared" si="40"/>
        <v>5.0340148646100644</v>
      </c>
      <c r="AI16" s="3">
        <f t="shared" si="40"/>
        <v>5.5216175429982925</v>
      </c>
      <c r="AJ16" s="3">
        <f t="shared" si="40"/>
        <v>6.0452994530528352</v>
      </c>
    </row>
    <row r="17" spans="1:36" s="3" customFormat="1" x14ac:dyDescent="0.25">
      <c r="A17" t="s">
        <v>4</v>
      </c>
      <c r="B17">
        <v>21401</v>
      </c>
      <c r="C17">
        <v>21164</v>
      </c>
      <c r="D17">
        <v>21164</v>
      </c>
      <c r="E17">
        <f>20805</f>
        <v>20805</v>
      </c>
      <c r="F17">
        <f>20651</f>
        <v>20651</v>
      </c>
      <c r="G17">
        <f>20493</f>
        <v>20493</v>
      </c>
      <c r="H17">
        <f>20335</f>
        <v>20335</v>
      </c>
      <c r="I17">
        <f>20138</f>
        <v>20138</v>
      </c>
      <c r="J17">
        <f>19763</f>
        <v>19763</v>
      </c>
      <c r="K17">
        <f>19329</f>
        <v>19329</v>
      </c>
      <c r="L17"/>
      <c r="M17"/>
      <c r="N17"/>
      <c r="O17"/>
      <c r="P17"/>
      <c r="Q17"/>
      <c r="R17" s="3">
        <f>AVERAGE(B17:E17)</f>
        <v>21133.5</v>
      </c>
      <c r="S17" s="3">
        <f>AVERAGE(F17:I17)</f>
        <v>20404.25</v>
      </c>
      <c r="T17" s="3">
        <f>+S17</f>
        <v>20404.25</v>
      </c>
      <c r="U17" s="3">
        <f t="shared" ref="U17:AJ17" si="41">+T17</f>
        <v>20404.25</v>
      </c>
      <c r="V17" s="3">
        <f t="shared" si="41"/>
        <v>20404.25</v>
      </c>
      <c r="W17" s="3">
        <f t="shared" si="41"/>
        <v>20404.25</v>
      </c>
      <c r="X17" s="3">
        <f t="shared" si="41"/>
        <v>20404.25</v>
      </c>
      <c r="Y17" s="3">
        <f t="shared" si="41"/>
        <v>20404.25</v>
      </c>
      <c r="Z17" s="3">
        <f t="shared" si="41"/>
        <v>20404.25</v>
      </c>
      <c r="AA17" s="3">
        <f t="shared" si="41"/>
        <v>20404.25</v>
      </c>
      <c r="AB17" s="3">
        <f t="shared" si="41"/>
        <v>20404.25</v>
      </c>
      <c r="AC17" s="3">
        <f t="shared" si="41"/>
        <v>20404.25</v>
      </c>
      <c r="AD17" s="3">
        <f t="shared" si="41"/>
        <v>20404.25</v>
      </c>
      <c r="AE17" s="3">
        <f t="shared" si="41"/>
        <v>20404.25</v>
      </c>
      <c r="AF17" s="3">
        <f t="shared" si="41"/>
        <v>20404.25</v>
      </c>
      <c r="AG17" s="3">
        <f t="shared" si="41"/>
        <v>20404.25</v>
      </c>
      <c r="AH17" s="3">
        <f t="shared" si="41"/>
        <v>20404.25</v>
      </c>
      <c r="AI17" s="3">
        <f t="shared" si="41"/>
        <v>20404.25</v>
      </c>
      <c r="AJ17" s="3">
        <f t="shared" si="41"/>
        <v>20404.25</v>
      </c>
    </row>
    <row r="19" spans="1:36" x14ac:dyDescent="0.25">
      <c r="A19" t="s">
        <v>45</v>
      </c>
      <c r="B19" s="5"/>
      <c r="C19" s="5"/>
      <c r="D19" s="5"/>
      <c r="E19" s="5"/>
      <c r="F19" s="5">
        <f t="shared" ref="F19:J19" si="42">+F2/B2-1</f>
        <v>-5.8158319870759256E-2</v>
      </c>
      <c r="G19" s="5">
        <f t="shared" si="42"/>
        <v>5.1925206853866701E-2</v>
      </c>
      <c r="H19" s="5">
        <f t="shared" si="42"/>
        <v>5.7890399670375015E-2</v>
      </c>
      <c r="I19" s="5">
        <f t="shared" si="42"/>
        <v>2.0823473734027376E-2</v>
      </c>
      <c r="J19" s="5">
        <f t="shared" si="42"/>
        <v>1.3623169283546677E-2</v>
      </c>
      <c r="K19" s="5">
        <f>+K2/G2-1</f>
        <v>3.6479623436145081E-2</v>
      </c>
    </row>
    <row r="20" spans="1:36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36" x14ac:dyDescent="0.25">
      <c r="A21" t="s">
        <v>46</v>
      </c>
      <c r="B21" s="5">
        <f t="shared" ref="B21:J24" si="43">+B4/B$2</f>
        <v>0.31906300484652667</v>
      </c>
      <c r="C21" s="5">
        <f t="shared" si="43"/>
        <v>0.36943774838751708</v>
      </c>
      <c r="D21" s="5">
        <f t="shared" si="43"/>
        <v>0.36667353385523965</v>
      </c>
      <c r="E21" s="5">
        <f t="shared" si="43"/>
        <v>0.39453244620138639</v>
      </c>
      <c r="F21" s="5">
        <f t="shared" si="43"/>
        <v>0.33322338039319171</v>
      </c>
      <c r="G21" s="5">
        <f t="shared" si="43"/>
        <v>0.39207853338288123</v>
      </c>
      <c r="H21" s="5">
        <f t="shared" si="43"/>
        <v>0.37867575462512171</v>
      </c>
      <c r="I21" s="5">
        <f t="shared" si="43"/>
        <v>0.3999836374048924</v>
      </c>
      <c r="J21" s="5">
        <f t="shared" si="43"/>
        <v>0.33251976959875035</v>
      </c>
      <c r="K21" s="5">
        <f>+K4/K$2</f>
        <v>0.39931281744846131</v>
      </c>
      <c r="R21" s="5">
        <f t="shared" ref="R21:AJ24" si="44">+R4/R$2</f>
        <v>0.36318015180058</v>
      </c>
      <c r="S21" s="5">
        <f t="shared" si="44"/>
        <v>0.37741665193293716</v>
      </c>
      <c r="T21" s="5">
        <f t="shared" si="44"/>
        <v>0.38927538237230985</v>
      </c>
      <c r="U21" s="5">
        <f t="shared" si="44"/>
        <v>0.40090823223188493</v>
      </c>
      <c r="V21" s="5">
        <f t="shared" si="44"/>
        <v>0.41231950399889666</v>
      </c>
      <c r="W21" s="5">
        <f t="shared" si="44"/>
        <v>0.42351341820844152</v>
      </c>
      <c r="X21" s="5">
        <f t="shared" si="44"/>
        <v>0.43449411500447116</v>
      </c>
      <c r="Y21" s="5">
        <f t="shared" si="44"/>
        <v>0.44526565567105258</v>
      </c>
      <c r="Z21" s="5">
        <f t="shared" si="44"/>
        <v>0.45583202413446106</v>
      </c>
      <c r="AA21" s="5">
        <f t="shared" si="44"/>
        <v>0.46619712843666178</v>
      </c>
      <c r="AB21" s="5">
        <f t="shared" si="44"/>
        <v>0.47636480218072541</v>
      </c>
      <c r="AC21" s="5">
        <f t="shared" si="44"/>
        <v>0.48633880594871154</v>
      </c>
      <c r="AD21" s="5">
        <f t="shared" si="44"/>
        <v>0.49612282869254565</v>
      </c>
      <c r="AE21" s="5">
        <f t="shared" si="44"/>
        <v>0.50572048909840195</v>
      </c>
      <c r="AF21" s="5">
        <f t="shared" si="44"/>
        <v>0.51513533692509894</v>
      </c>
      <c r="AG21" s="5">
        <f t="shared" si="44"/>
        <v>0.52437085431700181</v>
      </c>
      <c r="AH21" s="5">
        <f t="shared" si="44"/>
        <v>0.53343045709191617</v>
      </c>
      <c r="AI21" s="5">
        <f t="shared" si="44"/>
        <v>0.54231749600445112</v>
      </c>
      <c r="AJ21" s="5">
        <f t="shared" si="44"/>
        <v>0.55103525798531872</v>
      </c>
    </row>
    <row r="22" spans="1:36" x14ac:dyDescent="0.25">
      <c r="A22" t="s">
        <v>47</v>
      </c>
      <c r="B22" s="5">
        <f t="shared" si="43"/>
        <v>5.3622468000497081E-2</v>
      </c>
      <c r="C22" s="5">
        <f t="shared" si="43"/>
        <v>6.9027298195322176E-2</v>
      </c>
      <c r="D22" s="5">
        <f t="shared" si="43"/>
        <v>7.3135558302430986E-2</v>
      </c>
      <c r="E22" s="5">
        <f t="shared" si="43"/>
        <v>5.4564182511622726E-2</v>
      </c>
      <c r="F22" s="5">
        <f t="shared" si="43"/>
        <v>6.6664467607863834E-2</v>
      </c>
      <c r="G22" s="5">
        <f t="shared" si="43"/>
        <v>4.4685990338164248E-2</v>
      </c>
      <c r="H22" s="5">
        <f t="shared" si="43"/>
        <v>6.3258682246024017E-2</v>
      </c>
      <c r="I22" s="5">
        <f t="shared" si="43"/>
        <v>5.1814884507349529E-2</v>
      </c>
      <c r="J22" s="5">
        <f t="shared" si="43"/>
        <v>6.3490513846854765E-2</v>
      </c>
      <c r="K22" s="5">
        <f t="shared" ref="K22:K24" si="45">+K5/K$2</f>
        <v>5.4974604123095308E-2</v>
      </c>
      <c r="R22" s="5">
        <f t="shared" si="44"/>
        <v>6.2025623187499511E-2</v>
      </c>
      <c r="S22" s="5">
        <f t="shared" si="44"/>
        <v>5.6216224526662924E-2</v>
      </c>
      <c r="T22" s="5">
        <f t="shared" si="44"/>
        <v>5.4610046683043985E-2</v>
      </c>
      <c r="U22" s="5">
        <f t="shared" si="44"/>
        <v>5.3049759634957012E-2</v>
      </c>
      <c r="V22" s="5">
        <f t="shared" si="44"/>
        <v>5.1534052216815382E-2</v>
      </c>
      <c r="W22" s="5">
        <f t="shared" si="44"/>
        <v>5.006165072490637E-2</v>
      </c>
      <c r="X22" s="5">
        <f t="shared" si="44"/>
        <v>4.8631317847051908E-2</v>
      </c>
      <c r="Y22" s="5">
        <f t="shared" si="44"/>
        <v>4.7241851622850425E-2</v>
      </c>
      <c r="Z22" s="5">
        <f t="shared" si="44"/>
        <v>4.5892084433626135E-2</v>
      </c>
      <c r="AA22" s="5">
        <f t="shared" si="44"/>
        <v>4.458088202123682E-2</v>
      </c>
      <c r="AB22" s="5">
        <f t="shared" si="44"/>
        <v>4.3307142534915771E-2</v>
      </c>
      <c r="AC22" s="5">
        <f t="shared" si="44"/>
        <v>4.2069795605346745E-2</v>
      </c>
      <c r="AD22" s="5">
        <f t="shared" si="44"/>
        <v>4.0867801445193981E-2</v>
      </c>
      <c r="AE22" s="5">
        <f t="shared" si="44"/>
        <v>3.9700149975331299E-2</v>
      </c>
      <c r="AF22" s="5">
        <f t="shared" si="44"/>
        <v>3.8565859976036114E-2</v>
      </c>
      <c r="AG22" s="5">
        <f t="shared" si="44"/>
        <v>3.7463978262435083E-2</v>
      </c>
      <c r="AH22" s="5">
        <f t="shared" si="44"/>
        <v>3.6393578883508367E-2</v>
      </c>
      <c r="AI22" s="5">
        <f t="shared" si="44"/>
        <v>3.5353762343979557E-2</v>
      </c>
      <c r="AJ22" s="5">
        <f t="shared" si="44"/>
        <v>3.434365484843728E-2</v>
      </c>
    </row>
    <row r="23" spans="1:36" x14ac:dyDescent="0.25">
      <c r="A23" t="s">
        <v>48</v>
      </c>
      <c r="B23" s="5">
        <f t="shared" si="43"/>
        <v>0.13331055051572013</v>
      </c>
      <c r="C23" s="5">
        <f t="shared" si="43"/>
        <v>0.12440549872955893</v>
      </c>
      <c r="D23" s="5">
        <f t="shared" si="43"/>
        <v>0.10791786842466694</v>
      </c>
      <c r="E23" s="5">
        <f t="shared" si="43"/>
        <v>0.12363241557863089</v>
      </c>
      <c r="F23" s="5">
        <f t="shared" si="43"/>
        <v>0.11973875181422351</v>
      </c>
      <c r="G23" s="5">
        <f t="shared" si="43"/>
        <v>0.11550848507370247</v>
      </c>
      <c r="H23" s="5">
        <f t="shared" si="43"/>
        <v>0.11337228172671211</v>
      </c>
      <c r="I23" s="5">
        <f t="shared" si="43"/>
        <v>0.12975537920314162</v>
      </c>
      <c r="J23" s="5">
        <f t="shared" si="43"/>
        <v>0.12990985713820821</v>
      </c>
      <c r="K23" s="5">
        <f t="shared" si="45"/>
        <v>0.13441888258141618</v>
      </c>
      <c r="R23" s="5">
        <f t="shared" si="44"/>
        <v>0.122675504764287</v>
      </c>
      <c r="S23" s="5">
        <f t="shared" si="44"/>
        <v>0.12000430481139546</v>
      </c>
      <c r="T23" s="5">
        <f t="shared" si="44"/>
        <v>0.11771850852927362</v>
      </c>
      <c r="U23" s="5">
        <f t="shared" si="44"/>
        <v>0.11547625122395413</v>
      </c>
      <c r="V23" s="5">
        <f t="shared" si="44"/>
        <v>0.1132767035815931</v>
      </c>
      <c r="W23" s="5">
        <f t="shared" si="44"/>
        <v>0.11111905208480086</v>
      </c>
      <c r="X23" s="5">
        <f t="shared" si="44"/>
        <v>0.10900249871175705</v>
      </c>
      <c r="Y23" s="5">
        <f t="shared" si="44"/>
        <v>0.10692626064105691</v>
      </c>
      <c r="Z23" s="5">
        <f t="shared" si="44"/>
        <v>0.10488956996217964</v>
      </c>
      <c r="AA23" s="5">
        <f t="shared" si="44"/>
        <v>0.10289167339147147</v>
      </c>
      <c r="AB23" s="5">
        <f t="shared" si="44"/>
        <v>0.10093183199353868</v>
      </c>
      <c r="AC23" s="5">
        <f t="shared" si="44"/>
        <v>9.9009320907947465E-2</v>
      </c>
      <c r="AD23" s="5">
        <f t="shared" si="44"/>
        <v>9.712342908112942E-2</v>
      </c>
      <c r="AE23" s="5">
        <f t="shared" si="44"/>
        <v>9.527345900339361E-2</v>
      </c>
      <c r="AF23" s="5">
        <f t="shared" si="44"/>
        <v>9.3458726450948021E-2</v>
      </c>
      <c r="AG23" s="5">
        <f t="shared" si="44"/>
        <v>9.167856023283473E-2</v>
      </c>
      <c r="AH23" s="5">
        <f t="shared" si="44"/>
        <v>8.9932301942685491E-2</v>
      </c>
      <c r="AI23" s="5">
        <f t="shared" si="44"/>
        <v>8.8219305715205767E-2</v>
      </c>
      <c r="AJ23" s="5">
        <f t="shared" si="44"/>
        <v>8.6538937987297074E-2</v>
      </c>
    </row>
    <row r="24" spans="1:36" x14ac:dyDescent="0.25">
      <c r="A24" t="s">
        <v>49</v>
      </c>
      <c r="B24" s="5">
        <f t="shared" si="43"/>
        <v>3.6317882440661114E-2</v>
      </c>
      <c r="C24" s="5">
        <f t="shared" si="43"/>
        <v>4.1012443807414166E-2</v>
      </c>
      <c r="D24" s="5">
        <f t="shared" si="43"/>
        <v>5.1091882983106719E-2</v>
      </c>
      <c r="E24" s="5">
        <f t="shared" si="43"/>
        <v>4.1674786336683277E-2</v>
      </c>
      <c r="F24" s="5">
        <f t="shared" si="43"/>
        <v>6.1650613537405988E-2</v>
      </c>
      <c r="G24" s="5">
        <f t="shared" si="43"/>
        <v>3.1153226805400717E-2</v>
      </c>
      <c r="H24" s="5">
        <f t="shared" si="43"/>
        <v>4.1837065887698796E-2</v>
      </c>
      <c r="I24" s="5">
        <f t="shared" si="43"/>
        <v>4.3251793067713873E-2</v>
      </c>
      <c r="J24" s="5">
        <f t="shared" si="43"/>
        <v>6.3197630902404892E-2</v>
      </c>
      <c r="K24" s="5">
        <f t="shared" si="45"/>
        <v>5.4586196593964742E-2</v>
      </c>
      <c r="R24" s="5">
        <f t="shared" si="44"/>
        <v>4.2311871243091978E-2</v>
      </c>
      <c r="S24" s="5">
        <f t="shared" si="44"/>
        <v>4.4201188435431672E-2</v>
      </c>
      <c r="T24" s="5">
        <f t="shared" si="44"/>
        <v>4.3359261036661545E-2</v>
      </c>
      <c r="U24" s="5">
        <f t="shared" si="44"/>
        <v>4.2533370350248942E-2</v>
      </c>
      <c r="V24" s="5">
        <f t="shared" si="44"/>
        <v>4.1723210915006102E-2</v>
      </c>
      <c r="W24" s="5">
        <f t="shared" si="44"/>
        <v>4.0928483088053608E-2</v>
      </c>
      <c r="X24" s="5">
        <f t="shared" si="44"/>
        <v>4.0148892933995442E-2</v>
      </c>
      <c r="Y24" s="5">
        <f t="shared" si="44"/>
        <v>3.9384152116205058E-2</v>
      </c>
      <c r="Z24" s="5">
        <f t="shared" si="44"/>
        <v>3.8633977790182107E-2</v>
      </c>
      <c r="AA24" s="5">
        <f t="shared" si="44"/>
        <v>3.7898092498940543E-2</v>
      </c>
      <c r="AB24" s="5">
        <f t="shared" si="44"/>
        <v>3.7176224070389292E-2</v>
      </c>
      <c r="AC24" s="5">
        <f t="shared" si="44"/>
        <v>3.6468105516667598E-2</v>
      </c>
      <c r="AD24" s="5">
        <f t="shared" si="44"/>
        <v>3.5773474935397731E-2</v>
      </c>
      <c r="AE24" s="5">
        <f t="shared" si="44"/>
        <v>3.5092075412818724E-2</v>
      </c>
      <c r="AF24" s="5">
        <f t="shared" si="44"/>
        <v>3.4423654928765035E-2</v>
      </c>
      <c r="AG24" s="5">
        <f t="shared" si="44"/>
        <v>3.3767966263455226E-2</v>
      </c>
      <c r="AH24" s="5">
        <f t="shared" si="44"/>
        <v>3.3124766906056077E-2</v>
      </c>
      <c r="AI24" s="5">
        <f t="shared" si="44"/>
        <v>3.2493818964988333E-2</v>
      </c>
      <c r="AJ24" s="5">
        <f t="shared" si="44"/>
        <v>3.1874889079940932E-2</v>
      </c>
    </row>
    <row r="25" spans="1:36" x14ac:dyDescent="0.25">
      <c r="A25" t="s">
        <v>50</v>
      </c>
      <c r="B25" s="5">
        <f t="shared" ref="B25:J25" si="46">+B10/B2</f>
        <v>8.1924940971790733E-2</v>
      </c>
      <c r="C25" s="5">
        <f t="shared" si="46"/>
        <v>0.12160401329076813</v>
      </c>
      <c r="D25" s="5">
        <f t="shared" si="46"/>
        <v>0.12134322208487845</v>
      </c>
      <c r="E25" s="5">
        <f t="shared" si="46"/>
        <v>0.14139361376353665</v>
      </c>
      <c r="F25" s="5">
        <f t="shared" si="46"/>
        <v>7.3195672252276023E-2</v>
      </c>
      <c r="G25" s="5">
        <f t="shared" si="46"/>
        <v>0.18146909451257279</v>
      </c>
      <c r="H25" s="5">
        <f t="shared" si="46"/>
        <v>0.14939954560207724</v>
      </c>
      <c r="I25" s="5">
        <f t="shared" si="46"/>
        <v>8.647631514358177E-2</v>
      </c>
      <c r="J25" s="5">
        <f t="shared" si="46"/>
        <v>6.6549513488886713E-2</v>
      </c>
      <c r="K25" s="5">
        <f>+K10/K2</f>
        <v>0.14795339109650432</v>
      </c>
      <c r="R25" s="5">
        <f t="shared" ref="R25:AJ25" si="47">+R10/R2</f>
        <v>0.11711782132555831</v>
      </c>
      <c r="S25" s="5">
        <f t="shared" si="47"/>
        <v>0.12186459830728666</v>
      </c>
      <c r="T25" s="5">
        <f t="shared" si="47"/>
        <v>0.13912637952549708</v>
      </c>
      <c r="U25" s="5">
        <f t="shared" si="47"/>
        <v>0.15604406797913567</v>
      </c>
      <c r="V25" s="5">
        <f t="shared" si="47"/>
        <v>0.17262465487129461</v>
      </c>
      <c r="W25" s="5">
        <f t="shared" si="47"/>
        <v>0.18887498575200151</v>
      </c>
      <c r="X25" s="5">
        <f t="shared" si="47"/>
        <v>0.20480176364934344</v>
      </c>
      <c r="Y25" s="5">
        <f t="shared" si="47"/>
        <v>0.22041155213075636</v>
      </c>
      <c r="Z25" s="5">
        <f t="shared" si="47"/>
        <v>0.23571077829610235</v>
      </c>
      <c r="AA25" s="5">
        <f t="shared" si="47"/>
        <v>0.25070573570411581</v>
      </c>
      <c r="AB25" s="5">
        <f t="shared" si="47"/>
        <v>0.26540258723376353</v>
      </c>
      <c r="AC25" s="5">
        <f t="shared" si="47"/>
        <v>0.27980736788202437</v>
      </c>
      <c r="AD25" s="5">
        <f t="shared" si="47"/>
        <v>0.29392598749956061</v>
      </c>
      <c r="AE25" s="5">
        <f t="shared" si="47"/>
        <v>0.30776423346571363</v>
      </c>
      <c r="AF25" s="5">
        <f t="shared" si="47"/>
        <v>0.32132777330422696</v>
      </c>
      <c r="AG25" s="5">
        <f t="shared" si="47"/>
        <v>0.33462215724106098</v>
      </c>
      <c r="AH25" s="5">
        <f t="shared" si="47"/>
        <v>0.34765282070563558</v>
      </c>
      <c r="AI25" s="5">
        <f t="shared" si="47"/>
        <v>0.3604250867767998</v>
      </c>
      <c r="AJ25" s="5">
        <f t="shared" si="47"/>
        <v>0.37294416857480345</v>
      </c>
    </row>
    <row r="26" spans="1:36" x14ac:dyDescent="0.25">
      <c r="A26" t="s">
        <v>51</v>
      </c>
      <c r="B26" s="5">
        <f t="shared" ref="B26:J26" si="48">+B13/B12</f>
        <v>-0.10628645495787427</v>
      </c>
      <c r="C26" s="5">
        <f t="shared" si="48"/>
        <v>0.18465063001145476</v>
      </c>
      <c r="D26" s="5">
        <f t="shared" si="48"/>
        <v>-0.16343115124153498</v>
      </c>
      <c r="E26" s="5">
        <f t="shared" si="48"/>
        <v>7.5724439584472392E-2</v>
      </c>
      <c r="F26" s="5">
        <f t="shared" si="48"/>
        <v>0.14843962008141112</v>
      </c>
      <c r="G26" s="5">
        <f t="shared" si="48"/>
        <v>0.16639935846030474</v>
      </c>
      <c r="H26" s="5">
        <f t="shared" si="48"/>
        <v>0.15160183066361557</v>
      </c>
      <c r="I26" s="5">
        <f t="shared" si="48"/>
        <v>0.28782287822878228</v>
      </c>
      <c r="J26" s="5">
        <f t="shared" si="48"/>
        <v>0.58137829912023464</v>
      </c>
      <c r="K26" s="5">
        <f>+K13/K12</f>
        <v>0.30872183805487396</v>
      </c>
      <c r="R26" s="5">
        <f t="shared" ref="R26:AJ26" si="49">+R13/R12</f>
        <v>0.32131661442006271</v>
      </c>
      <c r="S26" s="5">
        <f t="shared" si="49"/>
        <v>0.17571533382245047</v>
      </c>
      <c r="T26" s="5">
        <f t="shared" si="49"/>
        <v>0.2</v>
      </c>
      <c r="U26" s="5">
        <f t="shared" si="49"/>
        <v>0.20000000000000004</v>
      </c>
      <c r="V26" s="5">
        <f t="shared" si="49"/>
        <v>0.2</v>
      </c>
      <c r="W26" s="5">
        <f t="shared" si="49"/>
        <v>0.2</v>
      </c>
      <c r="X26" s="5">
        <f t="shared" si="49"/>
        <v>0.2</v>
      </c>
      <c r="Y26" s="5">
        <f t="shared" si="49"/>
        <v>0.2</v>
      </c>
      <c r="Z26" s="5">
        <f t="shared" si="49"/>
        <v>0.2</v>
      </c>
      <c r="AA26" s="5">
        <f t="shared" si="49"/>
        <v>0.2</v>
      </c>
      <c r="AB26" s="5">
        <f t="shared" si="49"/>
        <v>0.2</v>
      </c>
      <c r="AC26" s="5">
        <f t="shared" si="49"/>
        <v>0.2</v>
      </c>
      <c r="AD26" s="5">
        <f t="shared" si="49"/>
        <v>0.19999999999999998</v>
      </c>
      <c r="AE26" s="5">
        <f t="shared" si="49"/>
        <v>0.2</v>
      </c>
      <c r="AF26" s="5">
        <f t="shared" si="49"/>
        <v>0.2</v>
      </c>
      <c r="AG26" s="5">
        <f t="shared" si="49"/>
        <v>0.2</v>
      </c>
      <c r="AH26" s="5">
        <f t="shared" si="49"/>
        <v>0.2</v>
      </c>
      <c r="AI26" s="5">
        <f t="shared" si="49"/>
        <v>0.2</v>
      </c>
      <c r="AJ26" s="5">
        <f t="shared" si="49"/>
        <v>0.2</v>
      </c>
    </row>
    <row r="27" spans="1:36" ht="14.25" customHeight="1" x14ac:dyDescent="0.25">
      <c r="K27" s="6" t="s">
        <v>40</v>
      </c>
    </row>
    <row r="28" spans="1:36" x14ac:dyDescent="0.25">
      <c r="R28">
        <f>+R29</f>
        <v>137538</v>
      </c>
      <c r="S28" s="3">
        <f>+R28+S15</f>
        <v>150460</v>
      </c>
    </row>
    <row r="29" spans="1:36" x14ac:dyDescent="0.25">
      <c r="A29" t="s">
        <v>52</v>
      </c>
      <c r="K29">
        <f>+K30-K37</f>
        <v>133499</v>
      </c>
      <c r="R29">
        <f>+R30-R37</f>
        <v>137538</v>
      </c>
      <c r="S29" s="8">
        <f>+S30-S37</f>
        <v>145525</v>
      </c>
      <c r="T29" s="8">
        <f t="shared" ref="T29:AJ29" si="50">+S29+T15</f>
        <v>165384.568</v>
      </c>
      <c r="U29" s="8">
        <f t="shared" si="50"/>
        <v>188580.860896</v>
      </c>
      <c r="V29" s="8">
        <f t="shared" si="50"/>
        <v>215412.15700787201</v>
      </c>
      <c r="W29" s="8">
        <f t="shared" si="50"/>
        <v>246197.51217905193</v>
      </c>
      <c r="X29" s="8">
        <f t="shared" si="50"/>
        <v>281278.03529590607</v>
      </c>
      <c r="Y29" s="8">
        <f t="shared" si="50"/>
        <v>321018.23661155871</v>
      </c>
      <c r="Z29" s="8">
        <f t="shared" si="50"/>
        <v>365807.45284670609</v>
      </c>
      <c r="AA29" s="8">
        <f t="shared" si="50"/>
        <v>416061.353250499</v>
      </c>
      <c r="AB29" s="8">
        <f t="shared" si="50"/>
        <v>472223.53102607938</v>
      </c>
      <c r="AC29" s="8">
        <f t="shared" si="50"/>
        <v>534767.18475837191</v>
      </c>
      <c r="AD29" s="8">
        <f t="shared" si="50"/>
        <v>604196.89472684648</v>
      </c>
      <c r="AE29" s="8">
        <f t="shared" si="50"/>
        <v>681050.49924380518</v>
      </c>
      <c r="AF29" s="8">
        <f t="shared" si="50"/>
        <v>765901.07642995846</v>
      </c>
      <c r="AG29" s="8">
        <f t="shared" si="50"/>
        <v>859359.03712432575</v>
      </c>
      <c r="AH29" s="8">
        <f t="shared" si="50"/>
        <v>962074.33492554561</v>
      </c>
      <c r="AI29" s="8">
        <f t="shared" si="50"/>
        <v>1074738.7996772686</v>
      </c>
      <c r="AJ29" s="8">
        <f t="shared" si="50"/>
        <v>1198088.601042222</v>
      </c>
    </row>
    <row r="30" spans="1:36" x14ac:dyDescent="0.25">
      <c r="A30" s="8" t="s">
        <v>7</v>
      </c>
      <c r="B30" s="8"/>
      <c r="C30" s="8"/>
      <c r="D30" s="8"/>
      <c r="E30" s="8"/>
      <c r="F30" s="8"/>
      <c r="G30" s="8"/>
      <c r="H30" s="8"/>
      <c r="I30" s="8"/>
      <c r="J30" s="8"/>
      <c r="K30" s="8">
        <f>30158+24223+7393+45538+28054</f>
        <v>135366</v>
      </c>
      <c r="L30" s="8"/>
      <c r="M30" s="8"/>
      <c r="N30" s="8"/>
      <c r="O30" s="8"/>
      <c r="P30" s="8"/>
      <c r="Q30" s="8"/>
      <c r="R30" s="8">
        <f>28308+45814+32988+30243+1156</f>
        <v>138509</v>
      </c>
      <c r="S30">
        <f>35889+42313+8335+31273+29179</f>
        <v>146989</v>
      </c>
      <c r="T30" s="5" t="s">
        <v>11</v>
      </c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spans="1:36" x14ac:dyDescent="0.25">
      <c r="A31" t="s">
        <v>53</v>
      </c>
      <c r="K31">
        <v>6349</v>
      </c>
      <c r="R31">
        <v>5827</v>
      </c>
      <c r="S31">
        <v>5351</v>
      </c>
    </row>
    <row r="32" spans="1:36" x14ac:dyDescent="0.25">
      <c r="A32" t="s">
        <v>54</v>
      </c>
      <c r="K32">
        <f>21828+16146</f>
        <v>37974</v>
      </c>
      <c r="R32">
        <f>24499+16350</f>
        <v>40849</v>
      </c>
      <c r="S32">
        <f>21510+16202</f>
        <v>37712</v>
      </c>
    </row>
    <row r="33" spans="1:20" x14ac:dyDescent="0.25">
      <c r="A33" t="s">
        <v>55</v>
      </c>
      <c r="K33">
        <v>26726</v>
      </c>
      <c r="R33">
        <v>25778</v>
      </c>
      <c r="S33">
        <v>25579</v>
      </c>
    </row>
    <row r="34" spans="1:20" x14ac:dyDescent="0.25">
      <c r="A34" t="s">
        <v>56</v>
      </c>
      <c r="K34">
        <f>35739+3478</f>
        <v>39217</v>
      </c>
      <c r="R34">
        <f>7092+38879</f>
        <v>45971</v>
      </c>
      <c r="S34">
        <f>3994+36553</f>
        <v>40547</v>
      </c>
    </row>
    <row r="35" spans="1:20" x14ac:dyDescent="0.25">
      <c r="A35" t="s">
        <v>57</v>
      </c>
      <c r="K35">
        <f>SUM(K30:K34)</f>
        <v>245632</v>
      </c>
      <c r="R35">
        <f>SUM(R30:R34)</f>
        <v>256934</v>
      </c>
      <c r="S35">
        <f>SUM(S30:S34)</f>
        <v>256178</v>
      </c>
      <c r="T35" t="s">
        <v>11</v>
      </c>
    </row>
    <row r="37" spans="1:20" x14ac:dyDescent="0.25">
      <c r="A37" t="s">
        <v>9</v>
      </c>
      <c r="K37">
        <v>1867</v>
      </c>
      <c r="R37">
        <v>971</v>
      </c>
      <c r="S37">
        <v>1464</v>
      </c>
    </row>
    <row r="38" spans="1:20" x14ac:dyDescent="0.25">
      <c r="A38" t="s">
        <v>58</v>
      </c>
      <c r="K38">
        <v>2249</v>
      </c>
      <c r="R38">
        <v>705</v>
      </c>
      <c r="S38">
        <v>2248</v>
      </c>
    </row>
    <row r="39" spans="1:20" x14ac:dyDescent="0.25">
      <c r="A39" t="s">
        <v>41</v>
      </c>
      <c r="K39">
        <v>945</v>
      </c>
      <c r="R39">
        <v>2729</v>
      </c>
      <c r="S39">
        <v>1552</v>
      </c>
    </row>
    <row r="40" spans="1:20" x14ac:dyDescent="0.25">
      <c r="A40" t="s">
        <v>59</v>
      </c>
      <c r="K40">
        <v>46686</v>
      </c>
      <c r="R40">
        <v>42578</v>
      </c>
      <c r="S40">
        <v>44401</v>
      </c>
    </row>
    <row r="41" spans="1:20" x14ac:dyDescent="0.25">
      <c r="A41" t="s">
        <v>60</v>
      </c>
      <c r="K41">
        <v>1713</v>
      </c>
      <c r="R41">
        <v>3696</v>
      </c>
      <c r="S41">
        <v>3366</v>
      </c>
    </row>
    <row r="42" spans="1:20" x14ac:dyDescent="0.25">
      <c r="A42" t="s">
        <v>61</v>
      </c>
      <c r="K42">
        <v>10236</v>
      </c>
      <c r="R42">
        <v>9901</v>
      </c>
      <c r="S42">
        <v>10175</v>
      </c>
    </row>
    <row r="43" spans="1:20" x14ac:dyDescent="0.25">
      <c r="A43" t="s">
        <v>62</v>
      </c>
      <c r="K43">
        <f>SUM(K37:K42)</f>
        <v>63696</v>
      </c>
      <c r="R43">
        <f>SUM(R37:R42)</f>
        <v>60580</v>
      </c>
      <c r="S43">
        <f>SUM(S37:S42)</f>
        <v>63206</v>
      </c>
      <c r="T43" t="s">
        <v>11</v>
      </c>
    </row>
    <row r="44" spans="1:20" x14ac:dyDescent="0.25">
      <c r="T44" t="s">
        <v>11</v>
      </c>
    </row>
    <row r="45" spans="1:20" x14ac:dyDescent="0.25">
      <c r="A45" t="s">
        <v>63</v>
      </c>
      <c r="K45">
        <f>+K35-K43</f>
        <v>181936</v>
      </c>
      <c r="R45">
        <f>+R35-R43</f>
        <v>196354</v>
      </c>
      <c r="S45">
        <f>+S35-S43</f>
        <v>192972</v>
      </c>
      <c r="T45" s="5" t="s">
        <v>11</v>
      </c>
    </row>
    <row r="46" spans="1:20" x14ac:dyDescent="0.25">
      <c r="A46" t="s">
        <v>64</v>
      </c>
      <c r="K46">
        <f>+K43+K45</f>
        <v>245632</v>
      </c>
      <c r="R46">
        <f>+R43+R45</f>
        <v>256934</v>
      </c>
      <c r="S46">
        <f>+S43+S45</f>
        <v>256178</v>
      </c>
      <c r="T46" s="5" t="s">
        <v>11</v>
      </c>
    </row>
    <row r="48" spans="1:20" x14ac:dyDescent="0.25">
      <c r="A48" t="s">
        <v>65</v>
      </c>
      <c r="K48" s="5">
        <f>+K15/K35</f>
        <v>1.3459158415841584E-2</v>
      </c>
      <c r="R48" s="5">
        <f>+R15/R35</f>
        <v>1.4081437256260362E-2</v>
      </c>
      <c r="S48" s="5">
        <f>+S15/S35</f>
        <v>5.0441489901552825E-2</v>
      </c>
    </row>
    <row r="49" spans="1:20" x14ac:dyDescent="0.25">
      <c r="A49" t="s">
        <v>66</v>
      </c>
      <c r="K49" s="5">
        <f>+K15/K45</f>
        <v>1.8171225046170081E-2</v>
      </c>
      <c r="R49" s="5">
        <f>+R15/R45</f>
        <v>1.8425904234189272E-2</v>
      </c>
      <c r="S49" s="5">
        <f>+S15/S45</f>
        <v>6.6963082727027751E-2</v>
      </c>
      <c r="T4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Simão Clemente</dc:creator>
  <cp:keywords/>
  <dc:description/>
  <cp:lastModifiedBy>Simão Clemente</cp:lastModifiedBy>
  <cp:revision/>
  <dcterms:created xsi:type="dcterms:W3CDTF">2024-10-02T16:59:58Z</dcterms:created>
  <dcterms:modified xsi:type="dcterms:W3CDTF">2024-10-08T13:34:34Z</dcterms:modified>
  <cp:category/>
  <cp:contentStatus/>
</cp:coreProperties>
</file>