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Financials/Ações/"/>
    </mc:Choice>
  </mc:AlternateContent>
  <xr:revisionPtr revIDLastSave="440" documentId="8_{0D00F365-5824-4FD0-A7FB-B0359C9EFF8C}" xr6:coauthVersionLast="47" xr6:coauthVersionMax="47" xr10:uidLastSave="{857B07E4-828C-492D-B4E6-5C8696EB53CB}"/>
  <bookViews>
    <workbookView xWindow="-108" yWindow="-108" windowWidth="23256" windowHeight="12456" xr2:uid="{E177BA8B-A7B7-4608-BD17-3E34FEB8120F}"/>
  </bookViews>
  <sheets>
    <sheet name="main" sheetId="1" r:id="rId1"/>
    <sheet name="mode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5" i="2" l="1"/>
  <c r="S31" i="2"/>
  <c r="S54" i="2"/>
  <c r="S53" i="2"/>
  <c r="S51" i="2"/>
  <c r="S50" i="2"/>
  <c r="S48" i="2"/>
  <c r="S45" i="2"/>
  <c r="S43" i="2"/>
  <c r="S41" i="2"/>
  <c r="S39" i="2"/>
  <c r="S35" i="2"/>
  <c r="S33" i="2"/>
  <c r="K54" i="2"/>
  <c r="K53" i="2"/>
  <c r="K31" i="2"/>
  <c r="K51" i="2"/>
  <c r="K50" i="2"/>
  <c r="K48" i="2"/>
  <c r="K45" i="2"/>
  <c r="K43" i="2"/>
  <c r="K41" i="2"/>
  <c r="K39" i="2"/>
  <c r="K35" i="2"/>
  <c r="K33" i="2"/>
  <c r="U20" i="2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U12" i="2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AH12" i="2" s="1"/>
  <c r="AI12" i="2" s="1"/>
  <c r="AJ12" i="2" s="1"/>
  <c r="U11" i="2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U10" i="2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U9" i="2"/>
  <c r="V9" i="2" s="1"/>
  <c r="U4" i="2"/>
  <c r="V4" i="2" s="1"/>
  <c r="T20" i="2"/>
  <c r="T13" i="2"/>
  <c r="T12" i="2"/>
  <c r="T9" i="2"/>
  <c r="T11" i="2"/>
  <c r="T10" i="2"/>
  <c r="T4" i="2"/>
  <c r="S29" i="2"/>
  <c r="R29" i="2"/>
  <c r="S28" i="2"/>
  <c r="R28" i="2"/>
  <c r="S27" i="2"/>
  <c r="R27" i="2"/>
  <c r="S26" i="2"/>
  <c r="R26" i="2"/>
  <c r="S25" i="2"/>
  <c r="R25" i="2"/>
  <c r="S24" i="2"/>
  <c r="R24" i="2"/>
  <c r="S22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2" i="2"/>
  <c r="I22" i="2"/>
  <c r="H22" i="2"/>
  <c r="G22" i="2"/>
  <c r="F22" i="2"/>
  <c r="K29" i="2"/>
  <c r="K28" i="2"/>
  <c r="K27" i="2"/>
  <c r="K26" i="2"/>
  <c r="K25" i="2"/>
  <c r="K24" i="2"/>
  <c r="K22" i="2"/>
  <c r="S19" i="2"/>
  <c r="S20" i="2"/>
  <c r="S18" i="2"/>
  <c r="S17" i="2"/>
  <c r="S16" i="2"/>
  <c r="S15" i="2"/>
  <c r="S13" i="2"/>
  <c r="S14" i="2" s="1"/>
  <c r="S12" i="2"/>
  <c r="S11" i="2"/>
  <c r="S10" i="2"/>
  <c r="S9" i="2"/>
  <c r="S7" i="2"/>
  <c r="S8" i="2" s="1"/>
  <c r="S6" i="2"/>
  <c r="S5" i="2"/>
  <c r="S4" i="2"/>
  <c r="R4" i="2"/>
  <c r="R8" i="2" s="1"/>
  <c r="R14" i="2" s="1"/>
  <c r="R16" i="2" s="1"/>
  <c r="R18" i="2" s="1"/>
  <c r="R19" i="2" s="1"/>
  <c r="S3" i="2"/>
  <c r="S2" i="2"/>
  <c r="R20" i="2"/>
  <c r="R17" i="2"/>
  <c r="R15" i="2"/>
  <c r="R13" i="2"/>
  <c r="R12" i="2"/>
  <c r="R11" i="2"/>
  <c r="R10" i="2"/>
  <c r="R9" i="2"/>
  <c r="R7" i="2"/>
  <c r="R6" i="2"/>
  <c r="R5" i="2"/>
  <c r="R3" i="2"/>
  <c r="R2" i="2"/>
  <c r="AD1" i="2"/>
  <c r="AE1" i="2" s="1"/>
  <c r="AF1" i="2" s="1"/>
  <c r="AG1" i="2" s="1"/>
  <c r="AH1" i="2" s="1"/>
  <c r="AI1" i="2" s="1"/>
  <c r="AJ1" i="2" s="1"/>
  <c r="T1" i="2"/>
  <c r="U1" i="2" s="1"/>
  <c r="V1" i="2" s="1"/>
  <c r="W1" i="2" s="1"/>
  <c r="X1" i="2" s="1"/>
  <c r="Y1" i="2" s="1"/>
  <c r="Z1" i="2" s="1"/>
  <c r="AA1" i="2" s="1"/>
  <c r="AB1" i="2" s="1"/>
  <c r="AC1" i="2" s="1"/>
  <c r="S1" i="2"/>
  <c r="V8" i="2" l="1"/>
  <c r="W4" i="2"/>
  <c r="W9" i="2"/>
  <c r="V13" i="2"/>
  <c r="U8" i="2"/>
  <c r="U13" i="2"/>
  <c r="T8" i="2"/>
  <c r="T14" i="2" s="1"/>
  <c r="B15" i="2"/>
  <c r="B13" i="2"/>
  <c r="B7" i="2"/>
  <c r="B4" i="2"/>
  <c r="C15" i="2"/>
  <c r="C13" i="2"/>
  <c r="C7" i="2"/>
  <c r="C4" i="2"/>
  <c r="D15" i="2"/>
  <c r="D13" i="2"/>
  <c r="D7" i="2"/>
  <c r="D4" i="2"/>
  <c r="I15" i="2"/>
  <c r="H15" i="2"/>
  <c r="H13" i="2"/>
  <c r="H7" i="2"/>
  <c r="H8" i="2" s="1"/>
  <c r="H14" i="2" s="1"/>
  <c r="H16" i="2" s="1"/>
  <c r="H18" i="2" s="1"/>
  <c r="H19" i="2" s="1"/>
  <c r="H4" i="2"/>
  <c r="E15" i="2"/>
  <c r="E13" i="2"/>
  <c r="E7" i="2"/>
  <c r="E4" i="2"/>
  <c r="I13" i="2"/>
  <c r="I7" i="2"/>
  <c r="I4" i="2"/>
  <c r="F15" i="2"/>
  <c r="F13" i="2"/>
  <c r="F7" i="2"/>
  <c r="F4" i="2"/>
  <c r="J15" i="2"/>
  <c r="J13" i="2"/>
  <c r="J7" i="2"/>
  <c r="J4" i="2"/>
  <c r="G19" i="2"/>
  <c r="K19" i="2"/>
  <c r="G15" i="2"/>
  <c r="G13" i="2"/>
  <c r="G7" i="2"/>
  <c r="G4" i="2"/>
  <c r="K15" i="2"/>
  <c r="K13" i="2"/>
  <c r="K7" i="2"/>
  <c r="K4" i="2"/>
  <c r="K8" i="2" s="1"/>
  <c r="K14" i="2" s="1"/>
  <c r="K16" i="2" s="1"/>
  <c r="K18" i="2" s="1"/>
  <c r="M7" i="1"/>
  <c r="M6" i="1"/>
  <c r="M5" i="1"/>
  <c r="M4" i="1"/>
  <c r="U14" i="2" l="1"/>
  <c r="X9" i="2"/>
  <c r="W13" i="2"/>
  <c r="X4" i="2"/>
  <c r="W8" i="2"/>
  <c r="W14" i="2" s="1"/>
  <c r="V14" i="2"/>
  <c r="B8" i="2"/>
  <c r="B14" i="2" s="1"/>
  <c r="B16" i="2" s="1"/>
  <c r="B18" i="2" s="1"/>
  <c r="B19" i="2" s="1"/>
  <c r="C8" i="2"/>
  <c r="C14" i="2" s="1"/>
  <c r="C16" i="2" s="1"/>
  <c r="C18" i="2" s="1"/>
  <c r="C19" i="2" s="1"/>
  <c r="D8" i="2"/>
  <c r="D14" i="2" s="1"/>
  <c r="D16" i="2" s="1"/>
  <c r="D18" i="2" s="1"/>
  <c r="D19" i="2" s="1"/>
  <c r="I8" i="2"/>
  <c r="E8" i="2"/>
  <c r="E14" i="2" s="1"/>
  <c r="E16" i="2" s="1"/>
  <c r="E18" i="2" s="1"/>
  <c r="E19" i="2" s="1"/>
  <c r="I14" i="2"/>
  <c r="I16" i="2" s="1"/>
  <c r="I18" i="2" s="1"/>
  <c r="I19" i="2" s="1"/>
  <c r="F8" i="2"/>
  <c r="F14" i="2" s="1"/>
  <c r="F16" i="2" s="1"/>
  <c r="F18" i="2" s="1"/>
  <c r="F19" i="2" s="1"/>
  <c r="J8" i="2"/>
  <c r="J14" i="2" s="1"/>
  <c r="J16" i="2" s="1"/>
  <c r="J18" i="2" s="1"/>
  <c r="J19" i="2" s="1"/>
  <c r="G8" i="2"/>
  <c r="G14" i="2" s="1"/>
  <c r="G16" i="2" s="1"/>
  <c r="G18" i="2" s="1"/>
  <c r="X8" i="2" l="1"/>
  <c r="Y4" i="2"/>
  <c r="Y9" i="2"/>
  <c r="X13" i="2"/>
  <c r="Z9" i="2" l="1"/>
  <c r="Y13" i="2"/>
  <c r="Y8" i="2"/>
  <c r="Y14" i="2" s="1"/>
  <c r="Z4" i="2"/>
  <c r="X14" i="2"/>
  <c r="AA4" i="2" l="1"/>
  <c r="Z8" i="2"/>
  <c r="Z14" i="2" s="1"/>
  <c r="AA9" i="2"/>
  <c r="Z13" i="2"/>
  <c r="AB4" i="2" l="1"/>
  <c r="AA8" i="2"/>
  <c r="AB9" i="2"/>
  <c r="AA13" i="2"/>
  <c r="AB13" i="2" l="1"/>
  <c r="AC9" i="2"/>
  <c r="AA14" i="2"/>
  <c r="AB8" i="2"/>
  <c r="AB14" i="2" s="1"/>
  <c r="AC4" i="2"/>
  <c r="AC8" i="2" l="1"/>
  <c r="AD4" i="2"/>
  <c r="AC13" i="2"/>
  <c r="AD9" i="2"/>
  <c r="AC14" i="2" l="1"/>
  <c r="AD13" i="2"/>
  <c r="AE9" i="2"/>
  <c r="AE4" i="2"/>
  <c r="AD8" i="2"/>
  <c r="AD14" i="2" s="1"/>
  <c r="AE8" i="2" l="1"/>
  <c r="AF4" i="2"/>
  <c r="AF9" i="2"/>
  <c r="AE13" i="2"/>
  <c r="AG9" i="2" l="1"/>
  <c r="AF13" i="2"/>
  <c r="AF8" i="2"/>
  <c r="AF14" i="2" s="1"/>
  <c r="AG4" i="2"/>
  <c r="AE14" i="2"/>
  <c r="AH4" i="2" l="1"/>
  <c r="AG8" i="2"/>
  <c r="AG14" i="2" s="1"/>
  <c r="AG13" i="2"/>
  <c r="AH9" i="2"/>
  <c r="AI4" i="2" l="1"/>
  <c r="AH8" i="2"/>
  <c r="AI9" i="2"/>
  <c r="AH13" i="2"/>
  <c r="AH14" i="2" l="1"/>
  <c r="AJ4" i="2"/>
  <c r="AJ8" i="2" s="1"/>
  <c r="AJ14" i="2" s="1"/>
  <c r="AI8" i="2"/>
  <c r="AJ9" i="2"/>
  <c r="AJ13" i="2" s="1"/>
  <c r="AI13" i="2"/>
  <c r="AI14" i="2" l="1"/>
  <c r="T16" i="2" l="1"/>
  <c r="T17" i="2" s="1"/>
  <c r="T18" i="2" s="1"/>
  <c r="T31" i="2" l="1"/>
  <c r="T19" i="2"/>
  <c r="U15" i="2" l="1"/>
  <c r="U16" i="2" s="1"/>
  <c r="U17" i="2" s="1"/>
  <c r="U18" i="2" s="1"/>
  <c r="U19" i="2" l="1"/>
  <c r="U31" i="2"/>
  <c r="V15" i="2" l="1"/>
  <c r="V16" i="2" s="1"/>
  <c r="V17" i="2" l="1"/>
  <c r="V18" i="2"/>
  <c r="V19" i="2" l="1"/>
  <c r="V31" i="2"/>
  <c r="W15" i="2" l="1"/>
  <c r="W16" i="2" s="1"/>
  <c r="W17" i="2" s="1"/>
  <c r="W18" i="2" s="1"/>
  <c r="W19" i="2" l="1"/>
  <c r="W31" i="2"/>
  <c r="X15" i="2" l="1"/>
  <c r="X16" i="2" s="1"/>
  <c r="X17" i="2" l="1"/>
  <c r="X18" i="2"/>
  <c r="X19" i="2" l="1"/>
  <c r="X31" i="2"/>
  <c r="Y15" i="2" l="1"/>
  <c r="Y16" i="2" s="1"/>
  <c r="Y17" i="2" s="1"/>
  <c r="Y18" i="2" s="1"/>
  <c r="Y19" i="2" l="1"/>
  <c r="Y31" i="2"/>
  <c r="Z15" i="2" l="1"/>
  <c r="Z16" i="2" s="1"/>
  <c r="Z17" i="2" s="1"/>
  <c r="Z18" i="2" s="1"/>
  <c r="Z19" i="2" s="1"/>
  <c r="Z31" i="2" l="1"/>
  <c r="AA15" i="2" l="1"/>
  <c r="AA16" i="2" s="1"/>
  <c r="AA17" i="2" s="1"/>
  <c r="AA18" i="2" s="1"/>
  <c r="AA19" i="2" s="1"/>
  <c r="AA31" i="2" l="1"/>
  <c r="AB15" i="2" l="1"/>
  <c r="AB16" i="2" s="1"/>
  <c r="AB17" i="2" s="1"/>
  <c r="AB18" i="2" s="1"/>
  <c r="AB19" i="2" s="1"/>
  <c r="AB31" i="2" l="1"/>
  <c r="AC15" i="2" l="1"/>
  <c r="AC16" i="2" s="1"/>
  <c r="AC17" i="2" s="1"/>
  <c r="AC18" i="2" s="1"/>
  <c r="AC19" i="2" s="1"/>
  <c r="AC31" i="2" l="1"/>
  <c r="AD15" i="2" l="1"/>
  <c r="AD16" i="2" s="1"/>
  <c r="AD17" i="2" s="1"/>
  <c r="AD18" i="2" s="1"/>
  <c r="AD19" i="2" s="1"/>
  <c r="AD31" i="2" l="1"/>
  <c r="AE15" i="2" l="1"/>
  <c r="AE16" i="2" s="1"/>
  <c r="AE17" i="2" s="1"/>
  <c r="AE18" i="2" s="1"/>
  <c r="AE19" i="2" s="1"/>
  <c r="AE31" i="2" l="1"/>
  <c r="AF15" i="2" l="1"/>
  <c r="AF16" i="2" s="1"/>
  <c r="AF17" i="2" s="1"/>
  <c r="AF18" i="2" s="1"/>
  <c r="AF19" i="2" s="1"/>
  <c r="AF31" i="2" l="1"/>
  <c r="AG15" i="2"/>
  <c r="AG16" i="2" s="1"/>
  <c r="AG17" i="2" l="1"/>
  <c r="AG18" i="2" s="1"/>
  <c r="AG19" i="2" l="1"/>
  <c r="AG31" i="2"/>
  <c r="AH15" i="2" l="1"/>
  <c r="AH16" i="2" s="1"/>
  <c r="AH17" i="2" s="1"/>
  <c r="AH18" i="2" s="1"/>
  <c r="AH19" i="2" s="1"/>
  <c r="AH31" i="2" l="1"/>
  <c r="AI15" i="2" l="1"/>
  <c r="AI16" i="2" s="1"/>
  <c r="AI17" i="2" s="1"/>
  <c r="AI18" i="2" s="1"/>
  <c r="AI19" i="2" s="1"/>
  <c r="AI31" i="2" l="1"/>
  <c r="AJ15" i="2" l="1"/>
  <c r="AJ16" i="2" s="1"/>
  <c r="AJ17" i="2" s="1"/>
  <c r="AJ18" i="2" s="1"/>
  <c r="AJ19" i="2" l="1"/>
  <c r="AK18" i="2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N13" i="2" s="1"/>
  <c r="N14" i="2" s="1"/>
  <c r="N15" i="2" s="1"/>
  <c r="N16" i="2" s="1"/>
  <c r="AJ31" i="2"/>
</calcChain>
</file>

<file path=xl/sharedStrings.xml><?xml version="1.0" encoding="utf-8"?>
<sst xmlns="http://schemas.openxmlformats.org/spreadsheetml/2006/main" count="89" uniqueCount="69">
  <si>
    <t>CRM</t>
  </si>
  <si>
    <t>Price</t>
  </si>
  <si>
    <t xml:space="preserve"> </t>
  </si>
  <si>
    <t>Shares</t>
  </si>
  <si>
    <t>MC</t>
  </si>
  <si>
    <t>Cash</t>
  </si>
  <si>
    <t>Debt</t>
  </si>
  <si>
    <t>EV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</si>
  <si>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</si>
  <si>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</si>
  <si>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</si>
  <si>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</si>
  <si>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</si>
  <si>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</si>
  <si>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</si>
  <si>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</si>
  <si>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</si>
  <si>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</si>
  <si>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Subscrisption and Sup</t>
  </si>
  <si>
    <t>Services</t>
  </si>
  <si>
    <t>Revenue</t>
  </si>
  <si>
    <t>Subscrisption and Sup Cost</t>
  </si>
  <si>
    <t>Services Cost</t>
  </si>
  <si>
    <t>COGS</t>
  </si>
  <si>
    <t>Gross Profit</t>
  </si>
  <si>
    <t>RD</t>
  </si>
  <si>
    <t>Terminal</t>
  </si>
  <si>
    <t>SM</t>
  </si>
  <si>
    <t>ROIC</t>
  </si>
  <si>
    <t>GA</t>
  </si>
  <si>
    <t>MR</t>
  </si>
  <si>
    <t>Restructuring</t>
  </si>
  <si>
    <t>DR</t>
  </si>
  <si>
    <t>OPEX</t>
  </si>
  <si>
    <t>NPV</t>
  </si>
  <si>
    <t>Operating Profit</t>
  </si>
  <si>
    <t>TV</t>
  </si>
  <si>
    <t>Interest Income</t>
  </si>
  <si>
    <t>Per Share</t>
  </si>
  <si>
    <t>EBIT</t>
  </si>
  <si>
    <t>Ratio</t>
  </si>
  <si>
    <t>Taxes</t>
  </si>
  <si>
    <t>Net Income</t>
  </si>
  <si>
    <t>EPS</t>
  </si>
  <si>
    <t>Revenue y/y</t>
  </si>
  <si>
    <t>Gross %</t>
  </si>
  <si>
    <t>RD %</t>
  </si>
  <si>
    <t>SM %</t>
  </si>
  <si>
    <t>GA %</t>
  </si>
  <si>
    <t>Operating %</t>
  </si>
  <si>
    <t>Taxe Rate</t>
  </si>
  <si>
    <t>NC</t>
  </si>
  <si>
    <t>A/R</t>
  </si>
  <si>
    <t>Cost Capitalized</t>
  </si>
  <si>
    <t>OCA</t>
  </si>
  <si>
    <t>PPE</t>
  </si>
  <si>
    <t>OLA</t>
  </si>
  <si>
    <t>Intangibles</t>
  </si>
  <si>
    <t>DT</t>
  </si>
  <si>
    <t>Assets</t>
  </si>
  <si>
    <t>A/P</t>
  </si>
  <si>
    <t>OLL</t>
  </si>
  <si>
    <t>Unearned</t>
  </si>
  <si>
    <t>Other</t>
  </si>
  <si>
    <t>Liabilities</t>
  </si>
  <si>
    <t>S/E</t>
  </si>
  <si>
    <t>L+S/E</t>
  </si>
  <si>
    <t>ROA</t>
  </si>
  <si>
    <t>ROE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</si>
</sst>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43" formatCode="_-* #,##0.00_-;\-* #,##0.00_-;_-* &quot;-&quot;??_-;_-@_-"/>
  </numFmts>
  <fonts count="4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  <xf numFmtId="9" fontId="0" fillId="0" borderId="0" xfId="0" applyNumberFormat="1"/>
    <xf numFmtId="0" fontId="0" fillId="0" borderId="0" xfId="0" quotePrefix="1"/>
    <xf numFmtId="8" fontId="0" fillId="0" borderId="0" xfId="0" applyNumberFormat="1"/>
    <xf numFmtId="3" fontId="1" fillId="0" borderId="0" xfId="0" applyNumberFormat="1" applyFont="1"/>
    <xf numFmtId="43" fontId="0" fillId="0" borderId="0" xfId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</xdr:colOff>
      <xdr:row>0</xdr:row>
      <xdr:rowOff>45720</xdr:rowOff>
    </xdr:from>
    <xdr:to>
      <xdr:col>11</xdr:col>
      <xdr:colOff>15240</xdr:colOff>
      <xdr:row>32</xdr:row>
      <xdr:rowOff>45720</xdr:rowOff>
    </xdr:to>
    <xdr:cxnSp macro="">
      <xdr:nvCxnSpPr>
        <xdr:cNvPr id="3" name="Conexão reta 2">
          <a:extLst>
            <a:ext uri="{FF2B5EF4-FFF2-40B4-BE49-F238E27FC236}">
              <a16:creationId xmlns:a16="http://schemas.microsoft.com/office/drawing/2014/main" id="{27568B07-2356-A310-A58E-E29F17735DBE}"/>
            </a:ext>
          </a:extLst>
        </xdr:cNvPr>
        <xdr:cNvCxnSpPr/>
      </xdr:nvCxnSpPr>
      <xdr:spPr>
        <a:xfrm>
          <a:off x="8641080" y="45720"/>
          <a:ext cx="0" cy="560832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7620</xdr:colOff>
      <xdr:row>0</xdr:row>
      <xdr:rowOff>0</xdr:rowOff>
    </xdr:from>
    <xdr:to>
      <xdr:col>17</xdr:col>
      <xdr:colOff>7620</xdr:colOff>
      <xdr:row>32</xdr:row>
      <xdr:rowOff>0</xdr:rowOff>
    </xdr:to>
    <xdr:cxnSp macro="">
      <xdr:nvCxnSpPr>
        <xdr:cNvPr id="4" name="Conexão reta 3">
          <a:extLst>
            <a:ext uri="{FF2B5EF4-FFF2-40B4-BE49-F238E27FC236}">
              <a16:creationId xmlns:a16="http://schemas.microsoft.com/office/drawing/2014/main" id="{C2C915E6-D71F-4F2A-8473-3E84A23CA53C}"/>
            </a:ext>
          </a:extLst>
        </xdr:cNvPr>
        <xdr:cNvCxnSpPr/>
      </xdr:nvCxnSpPr>
      <xdr:spPr>
        <a:xfrm>
          <a:off x="12656820" y="0"/>
          <a:ext cx="0" cy="560832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EC0E1-F2DA-4B3C-B35E-E9C870770508}">
  <dimension ref="B2:N7"/>
  <sheetViews>
    <sheetView tabSelected="1" topLeftCell="F1" workbookViewId="0">
      <selection activeCell="P6" sqref="P6"/>
    </sheetView>
  </sheetViews>
  <sheetFormatPr defaultRowHeight="13.8" x14ac:dyDescent="0.25"/>
  <cols>
    <col min="13" max="13" width="10.8984375" bestFit="1" customWidth="1"/>
  </cols>
  <sheetData>
    <row r="2" spans="2:14" x14ac:dyDescent="0.25">
      <c r="B2" s="2" t="s">
        <v>0</v>
      </c>
      <c r="L2" t="s">
        <v>1</v>
      </c>
      <c r="M2" s="3">
        <v>272</v>
      </c>
    </row>
    <row r="3" spans="2:14" x14ac:dyDescent="0.25">
      <c r="J3" t="s">
        <v>2</v>
      </c>
      <c r="L3" t="s">
        <v>3</v>
      </c>
      <c r="M3" s="3">
        <v>956</v>
      </c>
      <c r="N3" t="s">
        <v>17</v>
      </c>
    </row>
    <row r="4" spans="2:14" x14ac:dyDescent="0.25">
      <c r="L4" t="s">
        <v>4</v>
      </c>
      <c r="M4" s="3">
        <f>+M2*M3</f>
        <v>260032</v>
      </c>
    </row>
    <row r="5" spans="2:14" x14ac:dyDescent="0.25">
      <c r="L5" t="s">
        <v>5</v>
      </c>
      <c r="M5" s="3">
        <f>7682+4954+5017</f>
        <v>17653</v>
      </c>
      <c r="N5" t="s">
        <v>17</v>
      </c>
    </row>
    <row r="6" spans="2:14" x14ac:dyDescent="0.25">
      <c r="G6" s="1"/>
      <c r="L6" t="s">
        <v>6</v>
      </c>
      <c r="M6" s="3">
        <f>0+8430</f>
        <v>8430</v>
      </c>
      <c r="N6" t="s">
        <v>17</v>
      </c>
    </row>
    <row r="7" spans="2:14" x14ac:dyDescent="0.25">
      <c r="L7" t="s">
        <v>7</v>
      </c>
      <c r="M7" s="3">
        <f>+M4-M5+M6</f>
        <v>250809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8913E-683A-40BD-967F-CA1A31FAC892}">
  <dimension ref="A1:BH54"/>
  <sheetViews>
    <sheetView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N15" sqref="N15"/>
    </sheetView>
  </sheetViews>
  <sheetFormatPr defaultRowHeight="13.8" x14ac:dyDescent="0.25"/>
  <cols>
    <col min="1" max="1" width="23.3984375" bestFit="1" customWidth="1"/>
    <col min="2" max="2" width="10.59765625" customWidth="1"/>
    <col min="14" max="14" width="11.3984375" bestFit="1" customWidth="1"/>
  </cols>
  <sheetData>
    <row r="1" spans="1:36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R1">
        <v>2022</v>
      </c>
      <c r="S1">
        <f>+R1+1</f>
        <v>2023</v>
      </c>
      <c r="T1">
        <f t="shared" ref="T1:AJ1" si="0">+S1+1</f>
        <v>2024</v>
      </c>
      <c r="U1">
        <f t="shared" si="0"/>
        <v>2025</v>
      </c>
      <c r="V1">
        <f t="shared" si="0"/>
        <v>2026</v>
      </c>
      <c r="W1">
        <f t="shared" si="0"/>
        <v>2027</v>
      </c>
      <c r="X1">
        <f t="shared" si="0"/>
        <v>2028</v>
      </c>
      <c r="Y1">
        <f t="shared" si="0"/>
        <v>2029</v>
      </c>
      <c r="Z1">
        <f t="shared" si="0"/>
        <v>2030</v>
      </c>
      <c r="AA1">
        <f t="shared" si="0"/>
        <v>2031</v>
      </c>
      <c r="AB1">
        <f t="shared" si="0"/>
        <v>2032</v>
      </c>
      <c r="AC1">
        <f t="shared" si="0"/>
        <v>2033</v>
      </c>
      <c r="AD1">
        <f t="shared" si="0"/>
        <v>2034</v>
      </c>
      <c r="AE1">
        <f t="shared" si="0"/>
        <v>2035</v>
      </c>
      <c r="AF1">
        <f t="shared" si="0"/>
        <v>2036</v>
      </c>
      <c r="AG1">
        <f t="shared" si="0"/>
        <v>2037</v>
      </c>
      <c r="AH1">
        <f t="shared" si="0"/>
        <v>2038</v>
      </c>
      <c r="AI1">
        <f t="shared" si="0"/>
        <v>2039</v>
      </c>
      <c r="AJ1">
        <f t="shared" si="0"/>
        <v>2040</v>
      </c>
    </row>
    <row r="2" spans="1:36" s="3" customFormat="1" x14ac:dyDescent="0.25">
      <c r="A2" t="s">
        <v>18</v>
      </c>
      <c r="B2" s="3">
        <v>6856</v>
      </c>
      <c r="C2" s="3">
        <v>7143</v>
      </c>
      <c r="D2" s="3">
        <v>7233</v>
      </c>
      <c r="E2" s="3">
        <v>7789</v>
      </c>
      <c r="F2" s="3">
        <v>7642</v>
      </c>
      <c r="G2" s="3">
        <v>8006</v>
      </c>
      <c r="H2" s="3">
        <v>8748</v>
      </c>
      <c r="I2" s="3">
        <v>8141</v>
      </c>
      <c r="J2" s="3">
        <v>8585</v>
      </c>
      <c r="K2" s="3">
        <v>8764</v>
      </c>
      <c r="L2"/>
      <c r="M2"/>
      <c r="N2"/>
      <c r="O2"/>
      <c r="P2"/>
      <c r="Q2"/>
      <c r="R2" s="3">
        <f>SUM(B2:E2)</f>
        <v>29021</v>
      </c>
      <c r="S2" s="3">
        <f>SUM(F2:I2)</f>
        <v>32537</v>
      </c>
    </row>
    <row r="3" spans="1:36" s="3" customFormat="1" x14ac:dyDescent="0.25">
      <c r="A3" t="s">
        <v>19</v>
      </c>
      <c r="B3" s="3">
        <v>555</v>
      </c>
      <c r="C3" s="3">
        <v>577</v>
      </c>
      <c r="D3" s="3">
        <v>604</v>
      </c>
      <c r="E3" s="3">
        <v>595</v>
      </c>
      <c r="F3" s="3">
        <v>605</v>
      </c>
      <c r="G3" s="3">
        <v>597</v>
      </c>
      <c r="H3" s="3">
        <v>539</v>
      </c>
      <c r="I3" s="3">
        <v>579</v>
      </c>
      <c r="J3" s="3">
        <v>548</v>
      </c>
      <c r="K3" s="3">
        <v>561</v>
      </c>
      <c r="L3"/>
      <c r="M3"/>
      <c r="N3"/>
      <c r="O3"/>
      <c r="P3"/>
      <c r="Q3"/>
      <c r="R3" s="3">
        <f>SUM(B3:E3)</f>
        <v>2331</v>
      </c>
      <c r="S3" s="3">
        <f>SUM(F3:I3)</f>
        <v>2320</v>
      </c>
      <c r="T3" s="3" t="s">
        <v>2</v>
      </c>
    </row>
    <row r="4" spans="1:36" s="7" customFormat="1" x14ac:dyDescent="0.25">
      <c r="A4" s="1" t="s">
        <v>20</v>
      </c>
      <c r="B4" s="7">
        <f t="shared" ref="B4:K4" si="1">+B2+B3</f>
        <v>7411</v>
      </c>
      <c r="C4" s="7">
        <f t="shared" si="1"/>
        <v>7720</v>
      </c>
      <c r="D4" s="7">
        <f t="shared" si="1"/>
        <v>7837</v>
      </c>
      <c r="E4" s="7">
        <f t="shared" si="1"/>
        <v>8384</v>
      </c>
      <c r="F4" s="7">
        <f t="shared" si="1"/>
        <v>8247</v>
      </c>
      <c r="G4" s="7">
        <f t="shared" si="1"/>
        <v>8603</v>
      </c>
      <c r="H4" s="7">
        <f t="shared" si="1"/>
        <v>9287</v>
      </c>
      <c r="I4" s="7">
        <f t="shared" si="1"/>
        <v>8720</v>
      </c>
      <c r="J4" s="7">
        <f t="shared" si="1"/>
        <v>9133</v>
      </c>
      <c r="K4" s="7">
        <f t="shared" si="1"/>
        <v>9325</v>
      </c>
      <c r="L4" s="1"/>
      <c r="M4" s="1"/>
      <c r="N4" s="1"/>
      <c r="O4" s="1"/>
      <c r="P4" s="1"/>
      <c r="Q4" s="1"/>
      <c r="R4" s="7">
        <f>+R2+R3</f>
        <v>31352</v>
      </c>
      <c r="S4" s="7">
        <f>+S2+S3</f>
        <v>34857</v>
      </c>
      <c r="T4" s="7">
        <f>+S4*(1-$N$11)</f>
        <v>37296.990000000005</v>
      </c>
      <c r="U4" s="7">
        <f t="shared" ref="U4:AJ4" si="2">+T4*(1-$N$11)</f>
        <v>39907.779300000009</v>
      </c>
      <c r="V4" s="7">
        <f t="shared" si="2"/>
        <v>42701.323851000016</v>
      </c>
      <c r="W4" s="7">
        <f t="shared" si="2"/>
        <v>45690.416520570019</v>
      </c>
      <c r="X4" s="7">
        <f t="shared" si="2"/>
        <v>48888.745677009923</v>
      </c>
      <c r="Y4" s="7">
        <f t="shared" si="2"/>
        <v>52310.957874400621</v>
      </c>
      <c r="Z4" s="7">
        <f t="shared" si="2"/>
        <v>55972.724925608665</v>
      </c>
      <c r="AA4" s="7">
        <f t="shared" si="2"/>
        <v>59890.815670401273</v>
      </c>
      <c r="AB4" s="7">
        <f t="shared" si="2"/>
        <v>64083.172767329364</v>
      </c>
      <c r="AC4" s="7">
        <f t="shared" si="2"/>
        <v>68568.994861042418</v>
      </c>
      <c r="AD4" s="7">
        <f t="shared" si="2"/>
        <v>73368.824501315394</v>
      </c>
      <c r="AE4" s="7">
        <f t="shared" si="2"/>
        <v>78504.642216407476</v>
      </c>
      <c r="AF4" s="7">
        <f t="shared" si="2"/>
        <v>83999.967171556011</v>
      </c>
      <c r="AG4" s="7">
        <f t="shared" si="2"/>
        <v>89879.964873564939</v>
      </c>
      <c r="AH4" s="7">
        <f t="shared" si="2"/>
        <v>96171.562414714484</v>
      </c>
      <c r="AI4" s="7">
        <f t="shared" si="2"/>
        <v>102903.5717837445</v>
      </c>
      <c r="AJ4" s="7">
        <f t="shared" si="2"/>
        <v>110106.82180860662</v>
      </c>
    </row>
    <row r="5" spans="1:36" s="3" customFormat="1" x14ac:dyDescent="0.25">
      <c r="A5" t="s">
        <v>21</v>
      </c>
      <c r="B5" s="3">
        <v>1440</v>
      </c>
      <c r="C5" s="3">
        <v>1490</v>
      </c>
      <c r="D5" s="3">
        <v>1451</v>
      </c>
      <c r="E5" s="3">
        <v>1440</v>
      </c>
      <c r="F5" s="3">
        <v>1510</v>
      </c>
      <c r="G5" s="3">
        <v>1515</v>
      </c>
      <c r="H5" s="3">
        <v>1581</v>
      </c>
      <c r="I5" s="3">
        <v>1571</v>
      </c>
      <c r="J5" s="3">
        <v>1560</v>
      </c>
      <c r="K5" s="3">
        <v>1556</v>
      </c>
      <c r="L5"/>
      <c r="M5"/>
      <c r="N5"/>
      <c r="O5"/>
      <c r="P5"/>
      <c r="Q5"/>
      <c r="R5" s="3">
        <f t="shared" ref="R5:R6" si="3">SUM(B5:E5)</f>
        <v>5821</v>
      </c>
      <c r="S5" s="3">
        <f t="shared" ref="S5:S6" si="4">SUM(F5:I5)</f>
        <v>6177</v>
      </c>
    </row>
    <row r="6" spans="1:36" s="3" customFormat="1" x14ac:dyDescent="0.25">
      <c r="A6" t="s">
        <v>22</v>
      </c>
      <c r="B6" s="3">
        <v>605</v>
      </c>
      <c r="C6" s="3">
        <v>637</v>
      </c>
      <c r="D6" s="3">
        <v>637</v>
      </c>
      <c r="E6" s="3">
        <v>660</v>
      </c>
      <c r="F6" s="3">
        <v>615</v>
      </c>
      <c r="G6" s="3">
        <v>598</v>
      </c>
      <c r="H6" s="3">
        <v>567</v>
      </c>
      <c r="I6" s="3">
        <v>584</v>
      </c>
      <c r="J6" s="3">
        <v>602</v>
      </c>
      <c r="K6" s="3">
        <v>603</v>
      </c>
      <c r="L6"/>
      <c r="M6"/>
      <c r="N6"/>
      <c r="O6"/>
      <c r="P6"/>
      <c r="Q6"/>
      <c r="R6" s="3">
        <f t="shared" si="3"/>
        <v>2539</v>
      </c>
      <c r="S6" s="3">
        <f t="shared" si="4"/>
        <v>2364</v>
      </c>
    </row>
    <row r="7" spans="1:36" s="3" customFormat="1" x14ac:dyDescent="0.25">
      <c r="A7" t="s">
        <v>23</v>
      </c>
      <c r="B7" s="3">
        <f t="shared" ref="B7:K7" si="5">+B5+B6</f>
        <v>2045</v>
      </c>
      <c r="C7" s="3">
        <f t="shared" si="5"/>
        <v>2127</v>
      </c>
      <c r="D7" s="3">
        <f t="shared" si="5"/>
        <v>2088</v>
      </c>
      <c r="E7" s="3">
        <f t="shared" si="5"/>
        <v>2100</v>
      </c>
      <c r="F7" s="3">
        <f t="shared" si="5"/>
        <v>2125</v>
      </c>
      <c r="G7" s="3">
        <f t="shared" si="5"/>
        <v>2113</v>
      </c>
      <c r="H7" s="3">
        <f t="shared" si="5"/>
        <v>2148</v>
      </c>
      <c r="I7" s="3">
        <f t="shared" si="5"/>
        <v>2155</v>
      </c>
      <c r="J7" s="3">
        <f t="shared" si="5"/>
        <v>2162</v>
      </c>
      <c r="K7" s="3">
        <f t="shared" si="5"/>
        <v>2159</v>
      </c>
      <c r="L7"/>
      <c r="M7"/>
      <c r="N7"/>
      <c r="O7"/>
      <c r="P7"/>
      <c r="Q7"/>
      <c r="R7" s="3">
        <f>+R5+R6</f>
        <v>8360</v>
      </c>
      <c r="S7" s="3">
        <f>+S5+S6</f>
        <v>8541</v>
      </c>
    </row>
    <row r="8" spans="1:36" s="7" customFormat="1" x14ac:dyDescent="0.25">
      <c r="A8" s="1" t="s">
        <v>24</v>
      </c>
      <c r="B8" s="7">
        <f t="shared" ref="B8:K8" si="6">+B4-B7</f>
        <v>5366</v>
      </c>
      <c r="C8" s="7">
        <f t="shared" si="6"/>
        <v>5593</v>
      </c>
      <c r="D8" s="7">
        <f t="shared" si="6"/>
        <v>5749</v>
      </c>
      <c r="E8" s="7">
        <f t="shared" si="6"/>
        <v>6284</v>
      </c>
      <c r="F8" s="7">
        <f t="shared" si="6"/>
        <v>6122</v>
      </c>
      <c r="G8" s="7">
        <f t="shared" si="6"/>
        <v>6490</v>
      </c>
      <c r="H8" s="7">
        <f t="shared" si="6"/>
        <v>7139</v>
      </c>
      <c r="I8" s="7">
        <f t="shared" si="6"/>
        <v>6565</v>
      </c>
      <c r="J8" s="7">
        <f t="shared" si="6"/>
        <v>6971</v>
      </c>
      <c r="K8" s="7">
        <f t="shared" si="6"/>
        <v>7166</v>
      </c>
      <c r="L8" s="1"/>
      <c r="M8" s="1"/>
      <c r="N8" s="1"/>
      <c r="O8" s="1"/>
      <c r="P8" s="1"/>
      <c r="Q8" s="1"/>
      <c r="R8" s="7">
        <f>+R4-R7</f>
        <v>22992</v>
      </c>
      <c r="S8" s="7">
        <f>+S4-S7</f>
        <v>26316</v>
      </c>
      <c r="T8" s="7">
        <f>+T4*0.75</f>
        <v>27972.742500000004</v>
      </c>
      <c r="U8" s="7">
        <f t="shared" ref="U8:AJ8" si="7">+U4*0.75</f>
        <v>29930.834475000007</v>
      </c>
      <c r="V8" s="7">
        <f t="shared" si="7"/>
        <v>32025.99288825001</v>
      </c>
      <c r="W8" s="7">
        <f t="shared" si="7"/>
        <v>34267.812390427513</v>
      </c>
      <c r="X8" s="7">
        <f t="shared" si="7"/>
        <v>36666.559257757443</v>
      </c>
      <c r="Y8" s="7">
        <f t="shared" si="7"/>
        <v>39233.218405800464</v>
      </c>
      <c r="Z8" s="7">
        <f t="shared" si="7"/>
        <v>41979.543694206499</v>
      </c>
      <c r="AA8" s="7">
        <f t="shared" si="7"/>
        <v>44918.111752800956</v>
      </c>
      <c r="AB8" s="7">
        <f t="shared" si="7"/>
        <v>48062.37957549702</v>
      </c>
      <c r="AC8" s="7">
        <f t="shared" si="7"/>
        <v>51426.746145781814</v>
      </c>
      <c r="AD8" s="7">
        <f t="shared" si="7"/>
        <v>55026.618375986545</v>
      </c>
      <c r="AE8" s="7">
        <f t="shared" si="7"/>
        <v>58878.48166230561</v>
      </c>
      <c r="AF8" s="7">
        <f t="shared" si="7"/>
        <v>62999.975378667004</v>
      </c>
      <c r="AG8" s="7">
        <f t="shared" si="7"/>
        <v>67409.973655173701</v>
      </c>
      <c r="AH8" s="7">
        <f t="shared" si="7"/>
        <v>72128.671811035863</v>
      </c>
      <c r="AI8" s="7">
        <f t="shared" si="7"/>
        <v>77177.678837808373</v>
      </c>
      <c r="AJ8" s="7">
        <f t="shared" si="7"/>
        <v>82580.116356454964</v>
      </c>
    </row>
    <row r="9" spans="1:36" s="3" customFormat="1" x14ac:dyDescent="0.25">
      <c r="A9" t="s">
        <v>25</v>
      </c>
      <c r="B9" s="3">
        <v>1318</v>
      </c>
      <c r="C9" s="3">
        <v>1329</v>
      </c>
      <c r="D9" s="3">
        <v>1280</v>
      </c>
      <c r="E9" s="3">
        <v>1128</v>
      </c>
      <c r="F9" s="3">
        <v>1207</v>
      </c>
      <c r="G9" s="3">
        <v>1220</v>
      </c>
      <c r="H9" s="3">
        <v>1275</v>
      </c>
      <c r="I9" s="3">
        <v>1204</v>
      </c>
      <c r="J9" s="3">
        <v>1368</v>
      </c>
      <c r="K9" s="3">
        <v>1349</v>
      </c>
      <c r="L9"/>
      <c r="M9" t="s">
        <v>26</v>
      </c>
      <c r="N9" s="4">
        <v>-0.01</v>
      </c>
      <c r="O9"/>
      <c r="P9"/>
      <c r="Q9"/>
      <c r="R9" s="3">
        <f t="shared" ref="R9:R12" si="8">SUM(B9:E9)</f>
        <v>5055</v>
      </c>
      <c r="S9" s="3">
        <f t="shared" ref="S9:S12" si="9">SUM(F9:I9)</f>
        <v>4906</v>
      </c>
      <c r="T9" s="3">
        <f>+S9*1.06</f>
        <v>5200.3600000000006</v>
      </c>
      <c r="U9" s="3">
        <f t="shared" ref="U9:AJ9" si="10">+T9*1.06</f>
        <v>5512.3816000000006</v>
      </c>
      <c r="V9" s="3">
        <f t="shared" si="10"/>
        <v>5843.1244960000013</v>
      </c>
      <c r="W9" s="3">
        <f t="shared" si="10"/>
        <v>6193.7119657600015</v>
      </c>
      <c r="X9" s="3">
        <f t="shared" si="10"/>
        <v>6565.3346837056015</v>
      </c>
      <c r="Y9" s="3">
        <f t="shared" si="10"/>
        <v>6959.254764727938</v>
      </c>
      <c r="Z9" s="3">
        <f t="shared" si="10"/>
        <v>7376.8100506116143</v>
      </c>
      <c r="AA9" s="3">
        <f t="shared" si="10"/>
        <v>7819.4186536483112</v>
      </c>
      <c r="AB9" s="3">
        <f t="shared" si="10"/>
        <v>8288.5837728672104</v>
      </c>
      <c r="AC9" s="3">
        <f t="shared" si="10"/>
        <v>8785.8987992392431</v>
      </c>
      <c r="AD9" s="3">
        <f t="shared" si="10"/>
        <v>9313.0527271935989</v>
      </c>
      <c r="AE9" s="3">
        <f t="shared" si="10"/>
        <v>9871.8358908252158</v>
      </c>
      <c r="AF9" s="3">
        <f t="shared" si="10"/>
        <v>10464.146044274728</v>
      </c>
      <c r="AG9" s="3">
        <f t="shared" si="10"/>
        <v>11091.994806931212</v>
      </c>
      <c r="AH9" s="3">
        <f t="shared" si="10"/>
        <v>11757.514495347086</v>
      </c>
      <c r="AI9" s="3">
        <f t="shared" si="10"/>
        <v>12462.965365067912</v>
      </c>
      <c r="AJ9" s="3">
        <f t="shared" si="10"/>
        <v>13210.743286971987</v>
      </c>
    </row>
    <row r="10" spans="1:36" s="3" customFormat="1" x14ac:dyDescent="0.25">
      <c r="A10" t="s">
        <v>27</v>
      </c>
      <c r="B10" s="3">
        <v>3372</v>
      </c>
      <c r="C10" s="3">
        <v>3424</v>
      </c>
      <c r="D10" s="3">
        <v>3345</v>
      </c>
      <c r="E10" s="3">
        <v>3385</v>
      </c>
      <c r="F10" s="3">
        <v>3154</v>
      </c>
      <c r="G10" s="3">
        <v>3113</v>
      </c>
      <c r="H10" s="3">
        <v>3437</v>
      </c>
      <c r="I10" s="3">
        <v>3173</v>
      </c>
      <c r="J10" s="3">
        <v>3239</v>
      </c>
      <c r="K10" s="3">
        <v>3224</v>
      </c>
      <c r="L10"/>
      <c r="M10" t="s">
        <v>28</v>
      </c>
      <c r="N10" s="4">
        <v>0.01</v>
      </c>
      <c r="O10" s="5" t="s">
        <v>2</v>
      </c>
      <c r="P10"/>
      <c r="Q10"/>
      <c r="R10" s="3">
        <f t="shared" si="8"/>
        <v>13526</v>
      </c>
      <c r="S10" s="3">
        <f t="shared" si="9"/>
        <v>12877</v>
      </c>
      <c r="T10" s="3">
        <f>+S10*1.05</f>
        <v>13520.85</v>
      </c>
      <c r="U10" s="3">
        <f t="shared" ref="U10:AJ10" si="11">+T10*1.05</f>
        <v>14196.892500000002</v>
      </c>
      <c r="V10" s="3">
        <f t="shared" si="11"/>
        <v>14906.737125000003</v>
      </c>
      <c r="W10" s="3">
        <f t="shared" si="11"/>
        <v>15652.073981250003</v>
      </c>
      <c r="X10" s="3">
        <f t="shared" si="11"/>
        <v>16434.677680312503</v>
      </c>
      <c r="Y10" s="3">
        <f t="shared" si="11"/>
        <v>17256.411564328129</v>
      </c>
      <c r="Z10" s="3">
        <f t="shared" si="11"/>
        <v>18119.232142544537</v>
      </c>
      <c r="AA10" s="3">
        <f t="shared" si="11"/>
        <v>19025.193749671766</v>
      </c>
      <c r="AB10" s="3">
        <f t="shared" si="11"/>
        <v>19976.453437155356</v>
      </c>
      <c r="AC10" s="3">
        <f t="shared" si="11"/>
        <v>20975.276109013124</v>
      </c>
      <c r="AD10" s="3">
        <f t="shared" si="11"/>
        <v>22024.039914463781</v>
      </c>
      <c r="AE10" s="3">
        <f t="shared" si="11"/>
        <v>23125.241910186971</v>
      </c>
      <c r="AF10" s="3">
        <f t="shared" si="11"/>
        <v>24281.504005696319</v>
      </c>
      <c r="AG10" s="3">
        <f t="shared" si="11"/>
        <v>25495.579205981136</v>
      </c>
      <c r="AH10" s="3">
        <f t="shared" si="11"/>
        <v>26770.358166280195</v>
      </c>
      <c r="AI10" s="3">
        <f t="shared" si="11"/>
        <v>28108.876074594205</v>
      </c>
      <c r="AJ10" s="3">
        <f t="shared" si="11"/>
        <v>29514.319878323917</v>
      </c>
    </row>
    <row r="11" spans="1:36" s="3" customFormat="1" x14ac:dyDescent="0.25">
      <c r="A11" t="s">
        <v>29</v>
      </c>
      <c r="B11" s="3">
        <v>656</v>
      </c>
      <c r="C11" s="3">
        <v>647</v>
      </c>
      <c r="D11" s="3">
        <v>664</v>
      </c>
      <c r="E11" s="3">
        <v>586</v>
      </c>
      <c r="F11" s="3">
        <v>638</v>
      </c>
      <c r="G11" s="3">
        <v>632</v>
      </c>
      <c r="H11" s="3">
        <v>632</v>
      </c>
      <c r="I11" s="3">
        <v>632</v>
      </c>
      <c r="J11" s="3">
        <v>647</v>
      </c>
      <c r="K11" s="3">
        <v>711</v>
      </c>
      <c r="L11"/>
      <c r="M11" t="s">
        <v>30</v>
      </c>
      <c r="N11" s="4">
        <v>-7.0000000000000007E-2</v>
      </c>
      <c r="O11"/>
      <c r="P11"/>
      <c r="Q11"/>
      <c r="R11" s="3">
        <f t="shared" si="8"/>
        <v>2553</v>
      </c>
      <c r="S11" s="3">
        <f t="shared" si="9"/>
        <v>2534</v>
      </c>
      <c r="T11" s="3">
        <f>+S11*1.04</f>
        <v>2635.36</v>
      </c>
      <c r="U11" s="3">
        <f t="shared" ref="U11:AJ11" si="12">+T11*1.04</f>
        <v>2740.7744000000002</v>
      </c>
      <c r="V11" s="3">
        <f t="shared" si="12"/>
        <v>2850.4053760000002</v>
      </c>
      <c r="W11" s="3">
        <f t="shared" si="12"/>
        <v>2964.4215910400003</v>
      </c>
      <c r="X11" s="3">
        <f t="shared" si="12"/>
        <v>3082.9984546816004</v>
      </c>
      <c r="Y11" s="3">
        <f t="shared" si="12"/>
        <v>3206.3183928688645</v>
      </c>
      <c r="Z11" s="3">
        <f t="shared" si="12"/>
        <v>3334.5711285836192</v>
      </c>
      <c r="AA11" s="3">
        <f t="shared" si="12"/>
        <v>3467.9539737269643</v>
      </c>
      <c r="AB11" s="3">
        <f t="shared" si="12"/>
        <v>3606.672132676043</v>
      </c>
      <c r="AC11" s="3">
        <f t="shared" si="12"/>
        <v>3750.9390179830848</v>
      </c>
      <c r="AD11" s="3">
        <f t="shared" si="12"/>
        <v>3900.9765787024085</v>
      </c>
      <c r="AE11" s="3">
        <f t="shared" si="12"/>
        <v>4057.0156418505048</v>
      </c>
      <c r="AF11" s="3">
        <f t="shared" si="12"/>
        <v>4219.2962675245253</v>
      </c>
      <c r="AG11" s="3">
        <f t="shared" si="12"/>
        <v>4388.0681182255066</v>
      </c>
      <c r="AH11" s="3">
        <f t="shared" si="12"/>
        <v>4563.590842954527</v>
      </c>
      <c r="AI11" s="3">
        <f t="shared" si="12"/>
        <v>4746.1344766727079</v>
      </c>
      <c r="AJ11" s="3">
        <f t="shared" si="12"/>
        <v>4935.9798557396161</v>
      </c>
    </row>
    <row r="12" spans="1:36" s="3" customFormat="1" x14ac:dyDescent="0.25">
      <c r="A12" t="s">
        <v>31</v>
      </c>
      <c r="B12" s="3">
        <v>0</v>
      </c>
      <c r="C12" s="3">
        <v>0</v>
      </c>
      <c r="D12" s="3">
        <v>0</v>
      </c>
      <c r="E12" s="3">
        <v>828</v>
      </c>
      <c r="F12" s="3">
        <v>711</v>
      </c>
      <c r="G12" s="3">
        <v>49</v>
      </c>
      <c r="H12" s="3">
        <v>173</v>
      </c>
      <c r="I12" s="3">
        <v>55</v>
      </c>
      <c r="J12" s="3">
        <v>8</v>
      </c>
      <c r="K12" s="3">
        <v>99</v>
      </c>
      <c r="L12"/>
      <c r="M12" t="s">
        <v>32</v>
      </c>
      <c r="N12" s="4">
        <v>7.0000000000000007E-2</v>
      </c>
      <c r="O12"/>
      <c r="P12"/>
      <c r="Q12"/>
      <c r="R12" s="3">
        <f t="shared" si="8"/>
        <v>828</v>
      </c>
      <c r="S12" s="3">
        <f t="shared" si="9"/>
        <v>988</v>
      </c>
      <c r="T12" s="3">
        <f>+S12</f>
        <v>988</v>
      </c>
      <c r="U12" s="3">
        <f t="shared" ref="U12:AJ12" si="13">+T12</f>
        <v>988</v>
      </c>
      <c r="V12" s="3">
        <f t="shared" si="13"/>
        <v>988</v>
      </c>
      <c r="W12" s="3">
        <f t="shared" si="13"/>
        <v>988</v>
      </c>
      <c r="X12" s="3">
        <f t="shared" si="13"/>
        <v>988</v>
      </c>
      <c r="Y12" s="3">
        <f t="shared" si="13"/>
        <v>988</v>
      </c>
      <c r="Z12" s="3">
        <f t="shared" si="13"/>
        <v>988</v>
      </c>
      <c r="AA12" s="3">
        <f t="shared" si="13"/>
        <v>988</v>
      </c>
      <c r="AB12" s="3">
        <f t="shared" si="13"/>
        <v>988</v>
      </c>
      <c r="AC12" s="3">
        <f t="shared" si="13"/>
        <v>988</v>
      </c>
      <c r="AD12" s="3">
        <f t="shared" si="13"/>
        <v>988</v>
      </c>
      <c r="AE12" s="3">
        <f t="shared" si="13"/>
        <v>988</v>
      </c>
      <c r="AF12" s="3">
        <f t="shared" si="13"/>
        <v>988</v>
      </c>
      <c r="AG12" s="3">
        <f t="shared" si="13"/>
        <v>988</v>
      </c>
      <c r="AH12" s="3">
        <f t="shared" si="13"/>
        <v>988</v>
      </c>
      <c r="AI12" s="3">
        <f t="shared" si="13"/>
        <v>988</v>
      </c>
      <c r="AJ12" s="3">
        <f t="shared" si="13"/>
        <v>988</v>
      </c>
    </row>
    <row r="13" spans="1:36" s="3" customFormat="1" x14ac:dyDescent="0.25">
      <c r="A13" t="s">
        <v>33</v>
      </c>
      <c r="B13" s="3">
        <f t="shared" ref="B13:K13" si="14">SUM(B9:B12)</f>
        <v>5346</v>
      </c>
      <c r="C13" s="3">
        <f t="shared" si="14"/>
        <v>5400</v>
      </c>
      <c r="D13" s="3">
        <f t="shared" si="14"/>
        <v>5289</v>
      </c>
      <c r="E13" s="3">
        <f t="shared" si="14"/>
        <v>5927</v>
      </c>
      <c r="F13" s="3">
        <f t="shared" si="14"/>
        <v>5710</v>
      </c>
      <c r="G13" s="3">
        <f t="shared" si="14"/>
        <v>5014</v>
      </c>
      <c r="H13" s="3">
        <f t="shared" si="14"/>
        <v>5517</v>
      </c>
      <c r="I13" s="3">
        <f t="shared" si="14"/>
        <v>5064</v>
      </c>
      <c r="J13" s="3">
        <f t="shared" si="14"/>
        <v>5262</v>
      </c>
      <c r="K13" s="3">
        <f t="shared" si="14"/>
        <v>5383</v>
      </c>
      <c r="L13"/>
      <c r="M13" t="s">
        <v>34</v>
      </c>
      <c r="N13" s="6">
        <f>NPV(N12,T18:BH18)</f>
        <v>326332.45629983163</v>
      </c>
      <c r="O13"/>
      <c r="P13"/>
      <c r="Q13"/>
      <c r="R13" s="3">
        <f t="shared" ref="R13:T13" si="15">SUM(R9:R12)</f>
        <v>21962</v>
      </c>
      <c r="S13" s="3">
        <f t="shared" si="15"/>
        <v>21305</v>
      </c>
      <c r="T13" s="3">
        <f t="shared" si="15"/>
        <v>22344.57</v>
      </c>
      <c r="U13" s="3">
        <f t="shared" ref="U13" si="16">SUM(U9:U12)</f>
        <v>23438.048500000004</v>
      </c>
      <c r="V13" s="3">
        <f t="shared" ref="V13" si="17">SUM(V9:V12)</f>
        <v>24588.266997000002</v>
      </c>
      <c r="W13" s="3">
        <f t="shared" ref="W13" si="18">SUM(W9:W12)</f>
        <v>25798.207538050006</v>
      </c>
      <c r="X13" s="3">
        <f t="shared" ref="X13" si="19">SUM(X9:X12)</f>
        <v>27071.010818699706</v>
      </c>
      <c r="Y13" s="3">
        <f t="shared" ref="Y13" si="20">SUM(Y9:Y12)</f>
        <v>28409.984721924931</v>
      </c>
      <c r="Z13" s="3">
        <f t="shared" ref="Z13" si="21">SUM(Z9:Z12)</f>
        <v>29818.613321739769</v>
      </c>
      <c r="AA13" s="3">
        <f t="shared" ref="AA13" si="22">SUM(AA9:AA12)</f>
        <v>31300.566377047042</v>
      </c>
      <c r="AB13" s="3">
        <f t="shared" ref="AB13" si="23">SUM(AB9:AB12)</f>
        <v>32859.70934269861</v>
      </c>
      <c r="AC13" s="3">
        <f t="shared" ref="AC13" si="24">SUM(AC9:AC12)</f>
        <v>34500.113926235455</v>
      </c>
      <c r="AD13" s="3">
        <f t="shared" ref="AD13" si="25">SUM(AD9:AD12)</f>
        <v>36226.069220359786</v>
      </c>
      <c r="AE13" s="3">
        <f t="shared" ref="AE13" si="26">SUM(AE9:AE12)</f>
        <v>38042.093442862693</v>
      </c>
      <c r="AF13" s="3">
        <f t="shared" ref="AF13" si="27">SUM(AF9:AF12)</f>
        <v>39952.946317495574</v>
      </c>
      <c r="AG13" s="3">
        <f t="shared" ref="AG13" si="28">SUM(AG9:AG12)</f>
        <v>41963.642131137851</v>
      </c>
      <c r="AH13" s="3">
        <f t="shared" ref="AH13" si="29">SUM(AH9:AH12)</f>
        <v>44079.463504581814</v>
      </c>
      <c r="AI13" s="3">
        <f t="shared" ref="AI13" si="30">SUM(AI9:AI12)</f>
        <v>46305.975916334821</v>
      </c>
      <c r="AJ13" s="3">
        <f t="shared" ref="AJ13" si="31">SUM(AJ9:AJ12)</f>
        <v>48649.043021035519</v>
      </c>
    </row>
    <row r="14" spans="1:36" s="7" customFormat="1" x14ac:dyDescent="0.25">
      <c r="A14" s="1" t="s">
        <v>35</v>
      </c>
      <c r="B14" s="7">
        <f t="shared" ref="B14:K14" si="32">+B8-B13</f>
        <v>20</v>
      </c>
      <c r="C14" s="7">
        <f t="shared" si="32"/>
        <v>193</v>
      </c>
      <c r="D14" s="7">
        <f t="shared" si="32"/>
        <v>460</v>
      </c>
      <c r="E14" s="7">
        <f t="shared" si="32"/>
        <v>357</v>
      </c>
      <c r="F14" s="7">
        <f t="shared" si="32"/>
        <v>412</v>
      </c>
      <c r="G14" s="7">
        <f t="shared" si="32"/>
        <v>1476</v>
      </c>
      <c r="H14" s="7">
        <f t="shared" si="32"/>
        <v>1622</v>
      </c>
      <c r="I14" s="7">
        <f t="shared" si="32"/>
        <v>1501</v>
      </c>
      <c r="J14" s="7">
        <f t="shared" si="32"/>
        <v>1709</v>
      </c>
      <c r="K14" s="7">
        <f t="shared" si="32"/>
        <v>1783</v>
      </c>
      <c r="L14" s="1"/>
      <c r="M14" s="1" t="s">
        <v>36</v>
      </c>
      <c r="N14" s="7">
        <f>+N13-main!M5+main!M6</f>
        <v>317109.45629983163</v>
      </c>
      <c r="O14" s="1"/>
      <c r="P14" s="1"/>
      <c r="Q14" s="1"/>
      <c r="R14" s="7">
        <f t="shared" ref="R14:T14" si="33">+R8-R13</f>
        <v>1030</v>
      </c>
      <c r="S14" s="7">
        <f t="shared" si="33"/>
        <v>5011</v>
      </c>
      <c r="T14" s="7">
        <f t="shared" si="33"/>
        <v>5628.1725000000042</v>
      </c>
      <c r="U14" s="7">
        <f t="shared" ref="U14" si="34">+U8-U13</f>
        <v>6492.7859750000025</v>
      </c>
      <c r="V14" s="7">
        <f t="shared" ref="V14" si="35">+V8-V13</f>
        <v>7437.7258912500074</v>
      </c>
      <c r="W14" s="7">
        <f t="shared" ref="W14" si="36">+W8-W13</f>
        <v>8469.6048523775062</v>
      </c>
      <c r="X14" s="7">
        <f t="shared" ref="X14" si="37">+X8-X13</f>
        <v>9595.5484390577367</v>
      </c>
      <c r="Y14" s="7">
        <f t="shared" ref="Y14" si="38">+Y8-Y13</f>
        <v>10823.233683875533</v>
      </c>
      <c r="Z14" s="7">
        <f t="shared" ref="Z14" si="39">+Z8-Z13</f>
        <v>12160.93037246673</v>
      </c>
      <c r="AA14" s="7">
        <f t="shared" ref="AA14" si="40">+AA8-AA13</f>
        <v>13617.545375753914</v>
      </c>
      <c r="AB14" s="7">
        <f t="shared" ref="AB14" si="41">+AB8-AB13</f>
        <v>15202.670232798409</v>
      </c>
      <c r="AC14" s="7">
        <f t="shared" ref="AC14" si="42">+AC8-AC13</f>
        <v>16926.632219546358</v>
      </c>
      <c r="AD14" s="7">
        <f t="shared" ref="AD14" si="43">+AD8-AD13</f>
        <v>18800.549155626759</v>
      </c>
      <c r="AE14" s="7">
        <f t="shared" ref="AE14" si="44">+AE8-AE13</f>
        <v>20836.388219442917</v>
      </c>
      <c r="AF14" s="7">
        <f t="shared" ref="AF14" si="45">+AF8-AF13</f>
        <v>23047.02906117143</v>
      </c>
      <c r="AG14" s="7">
        <f t="shared" ref="AG14" si="46">+AG8-AG13</f>
        <v>25446.33152403585</v>
      </c>
      <c r="AH14" s="7">
        <f t="shared" ref="AH14" si="47">+AH8-AH13</f>
        <v>28049.208306454049</v>
      </c>
      <c r="AI14" s="7">
        <f t="shared" ref="AI14" si="48">+AI8-AI13</f>
        <v>30871.702921473552</v>
      </c>
      <c r="AJ14" s="7">
        <f t="shared" ref="AJ14" si="49">+AJ8-AJ13</f>
        <v>33931.073335419445</v>
      </c>
    </row>
    <row r="15" spans="1:36" s="3" customFormat="1" x14ac:dyDescent="0.25">
      <c r="A15" t="s">
        <v>37</v>
      </c>
      <c r="B15" s="3">
        <f>7-56</f>
        <v>-49</v>
      </c>
      <c r="C15" s="3">
        <f>45-57</f>
        <v>-12</v>
      </c>
      <c r="D15" s="3">
        <f>23-8</f>
        <v>15</v>
      </c>
      <c r="E15" s="3">
        <f>-314-10</f>
        <v>-324</v>
      </c>
      <c r="F15" s="3">
        <f>-141+55</f>
        <v>-86</v>
      </c>
      <c r="G15" s="3">
        <f>-29+45</f>
        <v>16</v>
      </c>
      <c r="H15" s="3">
        <f>-35+58</f>
        <v>23</v>
      </c>
      <c r="I15" s="3">
        <f>-72+58</f>
        <v>-14</v>
      </c>
      <c r="J15" s="3">
        <f>37+121</f>
        <v>158</v>
      </c>
      <c r="K15" s="3">
        <f>-37+91</f>
        <v>54</v>
      </c>
      <c r="L15"/>
      <c r="M15" t="s">
        <v>38</v>
      </c>
      <c r="N15">
        <f>+N14/main!M3</f>
        <v>331.70445219647661</v>
      </c>
      <c r="O15"/>
      <c r="P15"/>
      <c r="Q15"/>
      <c r="R15" s="3">
        <f t="shared" ref="R15:R17" si="50">SUM(B15:E15)</f>
        <v>-370</v>
      </c>
      <c r="S15" s="3">
        <f t="shared" ref="S15:S17" si="51">SUM(F15:I15)</f>
        <v>-61</v>
      </c>
      <c r="T15" s="3">
        <f>+S31*$N$10</f>
        <v>96.16</v>
      </c>
      <c r="U15" s="3">
        <f t="shared" ref="U15:AJ15" si="52">+T31*$N$10</f>
        <v>164.85199000000006</v>
      </c>
      <c r="V15" s="3">
        <f t="shared" si="52"/>
        <v>244.74364558000008</v>
      </c>
      <c r="W15" s="3">
        <f t="shared" si="52"/>
        <v>336.93328002196017</v>
      </c>
      <c r="X15" s="3">
        <f t="shared" si="52"/>
        <v>442.61173761075378</v>
      </c>
      <c r="Y15" s="3">
        <f t="shared" si="52"/>
        <v>563.0696597307757</v>
      </c>
      <c r="Z15" s="3">
        <f t="shared" si="52"/>
        <v>699.70529985405142</v>
      </c>
      <c r="AA15" s="3">
        <f t="shared" si="52"/>
        <v>854.03292792190075</v>
      </c>
      <c r="AB15" s="3">
        <f t="shared" si="52"/>
        <v>1027.6918675660104</v>
      </c>
      <c r="AC15" s="3">
        <f t="shared" si="52"/>
        <v>1222.4562127703837</v>
      </c>
      <c r="AD15" s="3">
        <f t="shared" si="52"/>
        <v>1440.2452739581845</v>
      </c>
      <c r="AE15" s="3">
        <f t="shared" si="52"/>
        <v>1683.1348071132038</v>
      </c>
      <c r="AF15" s="3">
        <f t="shared" si="52"/>
        <v>1953.3690834318775</v>
      </c>
      <c r="AG15" s="3">
        <f t="shared" si="52"/>
        <v>2253.3738611671174</v>
      </c>
      <c r="AH15" s="3">
        <f t="shared" si="52"/>
        <v>2585.7703257895528</v>
      </c>
      <c r="AI15" s="3">
        <f t="shared" si="52"/>
        <v>2953.3900693764758</v>
      </c>
      <c r="AJ15" s="3">
        <f t="shared" si="52"/>
        <v>3359.2911852666762</v>
      </c>
    </row>
    <row r="16" spans="1:36" s="3" customFormat="1" x14ac:dyDescent="0.25">
      <c r="A16" t="s">
        <v>39</v>
      </c>
      <c r="B16" s="3">
        <f t="shared" ref="B16:K16" si="53">+B14+B15</f>
        <v>-29</v>
      </c>
      <c r="C16" s="3">
        <f t="shared" si="53"/>
        <v>181</v>
      </c>
      <c r="D16" s="3">
        <f t="shared" si="53"/>
        <v>475</v>
      </c>
      <c r="E16" s="3">
        <f t="shared" si="53"/>
        <v>33</v>
      </c>
      <c r="F16" s="3">
        <f t="shared" si="53"/>
        <v>326</v>
      </c>
      <c r="G16" s="3">
        <f t="shared" si="53"/>
        <v>1492</v>
      </c>
      <c r="H16" s="3">
        <f t="shared" si="53"/>
        <v>1645</v>
      </c>
      <c r="I16" s="3">
        <f t="shared" si="53"/>
        <v>1487</v>
      </c>
      <c r="J16" s="3">
        <f t="shared" si="53"/>
        <v>1867</v>
      </c>
      <c r="K16" s="3">
        <f t="shared" si="53"/>
        <v>1837</v>
      </c>
      <c r="L16"/>
      <c r="M16" t="s">
        <v>40</v>
      </c>
      <c r="N16" s="4">
        <f>+N15/main!M2-1</f>
        <v>0.21950166248704628</v>
      </c>
      <c r="O16"/>
      <c r="P16"/>
      <c r="Q16"/>
      <c r="R16" s="3">
        <f t="shared" ref="R16:T16" si="54">+R14+R15</f>
        <v>660</v>
      </c>
      <c r="S16" s="3">
        <f t="shared" si="54"/>
        <v>4950</v>
      </c>
      <c r="T16" s="3">
        <f t="shared" si="54"/>
        <v>5724.3325000000041</v>
      </c>
      <c r="U16" s="3">
        <f t="shared" ref="U16" si="55">+U14+U15</f>
        <v>6657.6379650000026</v>
      </c>
      <c r="V16" s="3">
        <f t="shared" ref="V16" si="56">+V14+V15</f>
        <v>7682.4695368300072</v>
      </c>
      <c r="W16" s="3">
        <f t="shared" ref="W16" si="57">+W14+W15</f>
        <v>8806.5381323994661</v>
      </c>
      <c r="X16" s="3">
        <f t="shared" ref="X16" si="58">+X14+X15</f>
        <v>10038.160176668491</v>
      </c>
      <c r="Y16" s="3">
        <f t="shared" ref="Y16" si="59">+Y14+Y15</f>
        <v>11386.303343606309</v>
      </c>
      <c r="Z16" s="3">
        <f t="shared" ref="Z16" si="60">+Z14+Z15</f>
        <v>12860.635672320781</v>
      </c>
      <c r="AA16" s="3">
        <f t="shared" ref="AA16" si="61">+AA14+AA15</f>
        <v>14471.578303675815</v>
      </c>
      <c r="AB16" s="3">
        <f t="shared" ref="AB16" si="62">+AB14+AB15</f>
        <v>16230.36210036442</v>
      </c>
      <c r="AC16" s="3">
        <f t="shared" ref="AC16" si="63">+AC14+AC15</f>
        <v>18149.088432316741</v>
      </c>
      <c r="AD16" s="3">
        <f t="shared" ref="AD16" si="64">+AD14+AD15</f>
        <v>20240.794429584945</v>
      </c>
      <c r="AE16" s="3">
        <f t="shared" ref="AE16" si="65">+AE14+AE15</f>
        <v>22519.523026556122</v>
      </c>
      <c r="AF16" s="3">
        <f t="shared" ref="AF16" si="66">+AF14+AF15</f>
        <v>25000.398144603307</v>
      </c>
      <c r="AG16" s="3">
        <f t="shared" ref="AG16" si="67">+AG14+AG15</f>
        <v>27699.705385202968</v>
      </c>
      <c r="AH16" s="3">
        <f t="shared" ref="AH16" si="68">+AH14+AH15</f>
        <v>30634.978632243601</v>
      </c>
      <c r="AI16" s="3">
        <f t="shared" ref="AI16" si="69">+AI14+AI15</f>
        <v>33825.092990850026</v>
      </c>
      <c r="AJ16" s="3">
        <f t="shared" ref="AJ16" si="70">+AJ14+AJ15</f>
        <v>37290.364520686118</v>
      </c>
    </row>
    <row r="17" spans="1:60" s="3" customFormat="1" x14ac:dyDescent="0.25">
      <c r="A17" t="s">
        <v>41</v>
      </c>
      <c r="B17" s="3">
        <v>57</v>
      </c>
      <c r="C17" s="3">
        <v>-113</v>
      </c>
      <c r="D17" s="3">
        <v>-265</v>
      </c>
      <c r="E17" s="3">
        <v>-131</v>
      </c>
      <c r="F17" s="3">
        <v>-127</v>
      </c>
      <c r="G17" s="3">
        <v>-225</v>
      </c>
      <c r="H17" s="3">
        <v>-199</v>
      </c>
      <c r="I17" s="3">
        <v>-263</v>
      </c>
      <c r="J17" s="3">
        <v>-334</v>
      </c>
      <c r="K17" s="3">
        <v>-408</v>
      </c>
      <c r="L17"/>
      <c r="M17"/>
      <c r="N17"/>
      <c r="O17"/>
      <c r="P17"/>
      <c r="Q17"/>
      <c r="R17" s="3">
        <f t="shared" si="50"/>
        <v>-452</v>
      </c>
      <c r="S17" s="3">
        <f t="shared" si="51"/>
        <v>-814</v>
      </c>
      <c r="T17" s="3">
        <f>+T16*0.2</f>
        <v>1144.8665000000008</v>
      </c>
      <c r="U17" s="3">
        <f t="shared" ref="U17:AJ17" si="71">+U16*0.2</f>
        <v>1331.5275930000007</v>
      </c>
      <c r="V17" s="3">
        <f t="shared" si="71"/>
        <v>1536.4939073660016</v>
      </c>
      <c r="W17" s="3">
        <f t="shared" si="71"/>
        <v>1761.3076264798933</v>
      </c>
      <c r="X17" s="3">
        <f t="shared" si="71"/>
        <v>2007.6320353336982</v>
      </c>
      <c r="Y17" s="3">
        <f t="shared" si="71"/>
        <v>2277.2606687212619</v>
      </c>
      <c r="Z17" s="3">
        <f t="shared" si="71"/>
        <v>2572.1271344641564</v>
      </c>
      <c r="AA17" s="3">
        <f t="shared" si="71"/>
        <v>2894.315660735163</v>
      </c>
      <c r="AB17" s="3">
        <f t="shared" si="71"/>
        <v>3246.0724200728841</v>
      </c>
      <c r="AC17" s="3">
        <f t="shared" si="71"/>
        <v>3629.8176864633483</v>
      </c>
      <c r="AD17" s="3">
        <f t="shared" si="71"/>
        <v>4048.1588859169892</v>
      </c>
      <c r="AE17" s="3">
        <f t="shared" si="71"/>
        <v>4503.9046053112243</v>
      </c>
      <c r="AF17" s="3">
        <f t="shared" si="71"/>
        <v>5000.0796289206619</v>
      </c>
      <c r="AG17" s="3">
        <f t="shared" si="71"/>
        <v>5539.9410770405939</v>
      </c>
      <c r="AH17" s="3">
        <f t="shared" si="71"/>
        <v>6126.9957264487202</v>
      </c>
      <c r="AI17" s="3">
        <f t="shared" si="71"/>
        <v>6765.0185981700051</v>
      </c>
      <c r="AJ17" s="3">
        <f t="shared" si="71"/>
        <v>7458.0729041372242</v>
      </c>
    </row>
    <row r="18" spans="1:60" s="7" customFormat="1" x14ac:dyDescent="0.25">
      <c r="A18" s="1" t="s">
        <v>42</v>
      </c>
      <c r="B18" s="7">
        <f t="shared" ref="B18:K18" si="72">+B16+B17</f>
        <v>28</v>
      </c>
      <c r="C18" s="7">
        <f t="shared" si="72"/>
        <v>68</v>
      </c>
      <c r="D18" s="7">
        <f t="shared" si="72"/>
        <v>210</v>
      </c>
      <c r="E18" s="7">
        <f t="shared" si="72"/>
        <v>-98</v>
      </c>
      <c r="F18" s="7">
        <f t="shared" si="72"/>
        <v>199</v>
      </c>
      <c r="G18" s="7">
        <f t="shared" si="72"/>
        <v>1267</v>
      </c>
      <c r="H18" s="7">
        <f t="shared" si="72"/>
        <v>1446</v>
      </c>
      <c r="I18" s="7">
        <f t="shared" si="72"/>
        <v>1224</v>
      </c>
      <c r="J18" s="7">
        <f t="shared" si="72"/>
        <v>1533</v>
      </c>
      <c r="K18" s="7">
        <f t="shared" si="72"/>
        <v>1429</v>
      </c>
      <c r="L18" s="1"/>
      <c r="M18" s="1"/>
      <c r="N18" s="1"/>
      <c r="O18" s="1"/>
      <c r="P18" s="1"/>
      <c r="Q18" s="1"/>
      <c r="R18" s="7">
        <f t="shared" ref="R18:T18" si="73">+R16+R17</f>
        <v>208</v>
      </c>
      <c r="S18" s="7">
        <f t="shared" si="73"/>
        <v>4136</v>
      </c>
      <c r="T18" s="7">
        <f t="shared" si="73"/>
        <v>6869.1990000000051</v>
      </c>
      <c r="U18" s="7">
        <f t="shared" ref="U18" si="74">+U16+U17</f>
        <v>7989.1655580000033</v>
      </c>
      <c r="V18" s="7">
        <f t="shared" ref="V18" si="75">+V16+V17</f>
        <v>9218.9634441960079</v>
      </c>
      <c r="W18" s="7">
        <f t="shared" ref="W18" si="76">+W16+W17</f>
        <v>10567.845758879359</v>
      </c>
      <c r="X18" s="7">
        <f t="shared" ref="X18" si="77">+X16+X17</f>
        <v>12045.792212002189</v>
      </c>
      <c r="Y18" s="7">
        <f t="shared" ref="Y18" si="78">+Y16+Y17</f>
        <v>13663.56401232757</v>
      </c>
      <c r="Z18" s="7">
        <f t="shared" ref="Z18" si="79">+Z16+Z17</f>
        <v>15432.762806784936</v>
      </c>
      <c r="AA18" s="7">
        <f t="shared" ref="AA18" si="80">+AA16+AA17</f>
        <v>17365.893964410978</v>
      </c>
      <c r="AB18" s="7">
        <f t="shared" ref="AB18" si="81">+AB16+AB17</f>
        <v>19476.434520437306</v>
      </c>
      <c r="AC18" s="7">
        <f t="shared" ref="AC18" si="82">+AC16+AC17</f>
        <v>21778.906118780091</v>
      </c>
      <c r="AD18" s="7">
        <f t="shared" ref="AD18" si="83">+AD16+AD17</f>
        <v>24288.953315501934</v>
      </c>
      <c r="AE18" s="7">
        <f t="shared" ref="AE18" si="84">+AE16+AE17</f>
        <v>27023.427631867347</v>
      </c>
      <c r="AF18" s="7">
        <f t="shared" ref="AF18" si="85">+AF16+AF17</f>
        <v>30000.47777352397</v>
      </c>
      <c r="AG18" s="7">
        <f t="shared" ref="AG18" si="86">+AG16+AG17</f>
        <v>33239.64646224356</v>
      </c>
      <c r="AH18" s="7">
        <f t="shared" ref="AH18" si="87">+AH16+AH17</f>
        <v>36761.974358692321</v>
      </c>
      <c r="AI18" s="7">
        <f t="shared" ref="AI18" si="88">+AI16+AI17</f>
        <v>40590.111589020031</v>
      </c>
      <c r="AJ18" s="7">
        <f t="shared" ref="AJ18" si="89">+AJ16+AJ17</f>
        <v>44748.437424823343</v>
      </c>
      <c r="AK18" s="7">
        <f>+AJ18*(1+$N$9)</f>
        <v>44300.95305057511</v>
      </c>
      <c r="AL18" s="7">
        <f t="shared" ref="AL18:BH18" si="90">+AK18*(1+$N$9)</f>
        <v>43857.943520069355</v>
      </c>
      <c r="AM18" s="7">
        <f t="shared" si="90"/>
        <v>43419.364084868663</v>
      </c>
      <c r="AN18" s="7">
        <f t="shared" si="90"/>
        <v>42985.170444019976</v>
      </c>
      <c r="AO18" s="7">
        <f t="shared" si="90"/>
        <v>42555.318739579772</v>
      </c>
      <c r="AP18" s="7">
        <f t="shared" si="90"/>
        <v>42129.765552183977</v>
      </c>
      <c r="AQ18" s="7">
        <f t="shared" si="90"/>
        <v>41708.467896662136</v>
      </c>
      <c r="AR18" s="7">
        <f t="shared" si="90"/>
        <v>41291.383217695511</v>
      </c>
      <c r="AS18" s="7">
        <f t="shared" si="90"/>
        <v>40878.469385518554</v>
      </c>
      <c r="AT18" s="7">
        <f t="shared" si="90"/>
        <v>40469.684691663366</v>
      </c>
      <c r="AU18" s="7">
        <f t="shared" si="90"/>
        <v>40064.987844746734</v>
      </c>
      <c r="AV18" s="7">
        <f t="shared" si="90"/>
        <v>39664.337966299267</v>
      </c>
      <c r="AW18" s="7">
        <f t="shared" si="90"/>
        <v>39267.694586636273</v>
      </c>
      <c r="AX18" s="7">
        <f t="shared" si="90"/>
        <v>38875.017640769911</v>
      </c>
      <c r="AY18" s="7">
        <f t="shared" si="90"/>
        <v>38486.267464362209</v>
      </c>
      <c r="AZ18" s="7">
        <f t="shared" si="90"/>
        <v>38101.404789718588</v>
      </c>
      <c r="BA18" s="7">
        <f t="shared" si="90"/>
        <v>37720.3907418214</v>
      </c>
      <c r="BB18" s="7">
        <f t="shared" si="90"/>
        <v>37343.186834403183</v>
      </c>
      <c r="BC18" s="7">
        <f t="shared" si="90"/>
        <v>36969.754966059154</v>
      </c>
      <c r="BD18" s="7">
        <f t="shared" si="90"/>
        <v>36600.057416398566</v>
      </c>
      <c r="BE18" s="7">
        <f t="shared" si="90"/>
        <v>36234.056842234582</v>
      </c>
      <c r="BF18" s="7">
        <f t="shared" si="90"/>
        <v>35871.716273812235</v>
      </c>
      <c r="BG18" s="7">
        <f t="shared" si="90"/>
        <v>35512.99911107411</v>
      </c>
      <c r="BH18" s="7">
        <f t="shared" si="90"/>
        <v>35157.869119963369</v>
      </c>
    </row>
    <row r="19" spans="1:60" s="3" customFormat="1" x14ac:dyDescent="0.25">
      <c r="A19" t="s">
        <v>43</v>
      </c>
      <c r="B19" s="8">
        <f t="shared" ref="B19:K19" si="91">+B18/B20</f>
        <v>2.8254288597376387E-2</v>
      </c>
      <c r="C19" s="8">
        <f t="shared" si="91"/>
        <v>6.820461384152457E-2</v>
      </c>
      <c r="D19" s="8">
        <f t="shared" si="91"/>
        <v>0.21063189568706117</v>
      </c>
      <c r="E19" s="8">
        <f t="shared" si="91"/>
        <v>-9.959349593495935E-2</v>
      </c>
      <c r="F19" s="8">
        <f t="shared" si="91"/>
        <v>0.20306122448979591</v>
      </c>
      <c r="G19" s="8">
        <f t="shared" si="91"/>
        <v>1.2994871794871794</v>
      </c>
      <c r="H19" s="8">
        <f t="shared" si="91"/>
        <v>1.4907216494845361</v>
      </c>
      <c r="I19" s="8">
        <f t="shared" si="91"/>
        <v>1.2592592592592593</v>
      </c>
      <c r="J19" s="8">
        <f t="shared" si="91"/>
        <v>1.5804123711340206</v>
      </c>
      <c r="K19" s="8">
        <f t="shared" si="91"/>
        <v>1.4823651452282158</v>
      </c>
      <c r="L19" t="s">
        <v>2</v>
      </c>
      <c r="M19"/>
      <c r="N19"/>
      <c r="O19"/>
      <c r="P19"/>
      <c r="Q19"/>
      <c r="R19" s="8">
        <f>+R18/R20</f>
        <v>0.20962459057697153</v>
      </c>
      <c r="S19" s="8">
        <f>+S18/S20</f>
        <v>4.2453169104439317</v>
      </c>
      <c r="T19" s="8">
        <f>+T18/T20</f>
        <v>7.0507559661277961</v>
      </c>
      <c r="U19" s="8">
        <f t="shared" ref="U19:AJ19" si="92">+U18/U20</f>
        <v>8.2003238983833757</v>
      </c>
      <c r="V19" s="8">
        <f t="shared" si="92"/>
        <v>9.4626260653795313</v>
      </c>
      <c r="W19" s="8">
        <f t="shared" si="92"/>
        <v>10.847160132285715</v>
      </c>
      <c r="X19" s="8">
        <f t="shared" si="92"/>
        <v>12.36416957865249</v>
      </c>
      <c r="Y19" s="8">
        <f t="shared" si="92"/>
        <v>14.02470003831416</v>
      </c>
      <c r="Z19" s="8">
        <f t="shared" si="92"/>
        <v>15.840659796545996</v>
      </c>
      <c r="AA19" s="8">
        <f t="shared" si="92"/>
        <v>17.824884746636876</v>
      </c>
      <c r="AB19" s="8">
        <f t="shared" si="92"/>
        <v>19.991208129779118</v>
      </c>
      <c r="AC19" s="8">
        <f t="shared" si="92"/>
        <v>22.354535405470969</v>
      </c>
      <c r="AD19" s="8">
        <f t="shared" si="92"/>
        <v>24.930924624585</v>
      </c>
      <c r="AE19" s="8">
        <f t="shared" si="92"/>
        <v>27.737672703995223</v>
      </c>
      <c r="AF19" s="8">
        <f t="shared" si="92"/>
        <v>30.793408030304306</v>
      </c>
      <c r="AG19" s="8">
        <f t="shared" si="92"/>
        <v>34.118189850904344</v>
      </c>
      <c r="AH19" s="8">
        <f t="shared" si="92"/>
        <v>37.733614943487112</v>
      </c>
      <c r="AI19" s="8">
        <f t="shared" si="92"/>
        <v>41.662932090346452</v>
      </c>
      <c r="AJ19" s="8">
        <f t="shared" si="92"/>
        <v>45.931164921553339</v>
      </c>
    </row>
    <row r="20" spans="1:60" s="3" customFormat="1" x14ac:dyDescent="0.25">
      <c r="A20" t="s">
        <v>3</v>
      </c>
      <c r="B20" s="3">
        <v>991</v>
      </c>
      <c r="C20" s="3">
        <v>997</v>
      </c>
      <c r="D20" s="3">
        <v>997</v>
      </c>
      <c r="E20" s="3">
        <v>984</v>
      </c>
      <c r="F20" s="3">
        <v>980</v>
      </c>
      <c r="G20" s="3">
        <v>975</v>
      </c>
      <c r="H20" s="3">
        <v>970</v>
      </c>
      <c r="I20" s="3">
        <v>972</v>
      </c>
      <c r="J20" s="3">
        <v>970</v>
      </c>
      <c r="K20" s="3">
        <v>964</v>
      </c>
      <c r="L20" t="s">
        <v>2</v>
      </c>
      <c r="M20"/>
      <c r="N20"/>
      <c r="O20"/>
      <c r="P20"/>
      <c r="Q20"/>
      <c r="R20" s="3">
        <f>AVERAGE(B20:E20)</f>
        <v>992.25</v>
      </c>
      <c r="S20" s="3">
        <f>AVERAGE(F20:I20)</f>
        <v>974.25</v>
      </c>
      <c r="T20" s="3">
        <f>+S20</f>
        <v>974.25</v>
      </c>
      <c r="U20" s="3">
        <f t="shared" ref="U20:AJ20" si="93">+T20</f>
        <v>974.25</v>
      </c>
      <c r="V20" s="3">
        <f t="shared" si="93"/>
        <v>974.25</v>
      </c>
      <c r="W20" s="3">
        <f t="shared" si="93"/>
        <v>974.25</v>
      </c>
      <c r="X20" s="3">
        <f t="shared" si="93"/>
        <v>974.25</v>
      </c>
      <c r="Y20" s="3">
        <f t="shared" si="93"/>
        <v>974.25</v>
      </c>
      <c r="Z20" s="3">
        <f t="shared" si="93"/>
        <v>974.25</v>
      </c>
      <c r="AA20" s="3">
        <f t="shared" si="93"/>
        <v>974.25</v>
      </c>
      <c r="AB20" s="3">
        <f t="shared" si="93"/>
        <v>974.25</v>
      </c>
      <c r="AC20" s="3">
        <f t="shared" si="93"/>
        <v>974.25</v>
      </c>
      <c r="AD20" s="3">
        <f t="shared" si="93"/>
        <v>974.25</v>
      </c>
      <c r="AE20" s="3">
        <f t="shared" si="93"/>
        <v>974.25</v>
      </c>
      <c r="AF20" s="3">
        <f t="shared" si="93"/>
        <v>974.25</v>
      </c>
      <c r="AG20" s="3">
        <f t="shared" si="93"/>
        <v>974.25</v>
      </c>
      <c r="AH20" s="3">
        <f t="shared" si="93"/>
        <v>974.25</v>
      </c>
      <c r="AI20" s="3">
        <f t="shared" si="93"/>
        <v>974.25</v>
      </c>
      <c r="AJ20" s="3">
        <f t="shared" si="93"/>
        <v>974.25</v>
      </c>
    </row>
    <row r="21" spans="1:60" x14ac:dyDescent="0.25">
      <c r="L21" t="s">
        <v>2</v>
      </c>
    </row>
    <row r="22" spans="1:60" x14ac:dyDescent="0.25">
      <c r="A22" t="s">
        <v>44</v>
      </c>
      <c r="B22" s="4" t="s">
        <v>2</v>
      </c>
      <c r="C22" s="4" t="s">
        <v>2</v>
      </c>
      <c r="D22" s="4" t="s">
        <v>2</v>
      </c>
      <c r="E22" s="4" t="s">
        <v>2</v>
      </c>
      <c r="F22" s="4">
        <f t="shared" ref="F22:J22" si="94">+F4/B4-1</f>
        <v>0.11280528943462431</v>
      </c>
      <c r="G22" s="4">
        <f t="shared" si="94"/>
        <v>0.11437823834196892</v>
      </c>
      <c r="H22" s="4">
        <f t="shared" si="94"/>
        <v>0.18501977797626634</v>
      </c>
      <c r="I22" s="4">
        <f t="shared" si="94"/>
        <v>4.0076335877862634E-2</v>
      </c>
      <c r="J22" s="4">
        <f t="shared" si="94"/>
        <v>0.10743300594155447</v>
      </c>
      <c r="K22" s="4">
        <f>+K4/G4-1</f>
        <v>8.3924212484017158E-2</v>
      </c>
      <c r="S22" s="4">
        <f>+S4/R4-1</f>
        <v>0.11179510079101806</v>
      </c>
    </row>
    <row r="23" spans="1:60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W23" t="s">
        <v>2</v>
      </c>
    </row>
    <row r="24" spans="1:60" x14ac:dyDescent="0.25">
      <c r="A24" t="s">
        <v>45</v>
      </c>
      <c r="B24" s="4">
        <f t="shared" ref="B24:J27" si="95">+B8/B$4</f>
        <v>0.72405883146673866</v>
      </c>
      <c r="C24" s="4">
        <f t="shared" si="95"/>
        <v>0.72448186528497405</v>
      </c>
      <c r="D24" s="4">
        <f t="shared" si="95"/>
        <v>0.73357151971417633</v>
      </c>
      <c r="E24" s="4">
        <f t="shared" si="95"/>
        <v>0.74952290076335881</v>
      </c>
      <c r="F24" s="4">
        <f t="shared" si="95"/>
        <v>0.74233054444040258</v>
      </c>
      <c r="G24" s="4">
        <f t="shared" si="95"/>
        <v>0.75438800418458674</v>
      </c>
      <c r="H24" s="4">
        <f t="shared" si="95"/>
        <v>0.76870894799181655</v>
      </c>
      <c r="I24" s="4">
        <f t="shared" si="95"/>
        <v>0.75286697247706424</v>
      </c>
      <c r="J24" s="4">
        <f t="shared" si="95"/>
        <v>0.7632760319719698</v>
      </c>
      <c r="K24" s="4">
        <f>+K8/K$4</f>
        <v>0.76847184986595174</v>
      </c>
      <c r="R24" s="4">
        <f t="shared" ref="R24:S27" si="96">+R8/R$4</f>
        <v>0.73335034447563152</v>
      </c>
      <c r="S24" s="4">
        <f t="shared" si="96"/>
        <v>0.75497030725535763</v>
      </c>
      <c r="W24" t="s">
        <v>2</v>
      </c>
    </row>
    <row r="25" spans="1:60" x14ac:dyDescent="0.25">
      <c r="A25" t="s">
        <v>46</v>
      </c>
      <c r="B25" s="4">
        <f t="shared" si="95"/>
        <v>0.17784374578329509</v>
      </c>
      <c r="C25" s="4">
        <f t="shared" si="95"/>
        <v>0.17215025906735751</v>
      </c>
      <c r="D25" s="4">
        <f t="shared" si="95"/>
        <v>0.16332780400663519</v>
      </c>
      <c r="E25" s="4">
        <f t="shared" si="95"/>
        <v>0.13454198473282442</v>
      </c>
      <c r="F25" s="4">
        <f t="shared" si="95"/>
        <v>0.14635625075785133</v>
      </c>
      <c r="G25" s="4">
        <f t="shared" si="95"/>
        <v>0.14181099616412879</v>
      </c>
      <c r="H25" s="4">
        <f t="shared" si="95"/>
        <v>0.13728868310541617</v>
      </c>
      <c r="I25" s="4">
        <f t="shared" si="95"/>
        <v>0.13807339449541284</v>
      </c>
      <c r="J25" s="4">
        <f t="shared" si="95"/>
        <v>0.14978648855797658</v>
      </c>
      <c r="K25" s="4">
        <f t="shared" ref="K25:K27" si="97">+K9/K$4</f>
        <v>0.14466487935656835</v>
      </c>
      <c r="R25" s="4">
        <f t="shared" si="96"/>
        <v>0.16123373309517733</v>
      </c>
      <c r="S25" s="4">
        <f t="shared" si="96"/>
        <v>0.14074647846917404</v>
      </c>
      <c r="W25" t="s">
        <v>2</v>
      </c>
    </row>
    <row r="26" spans="1:60" x14ac:dyDescent="0.25">
      <c r="A26" t="s">
        <v>47</v>
      </c>
      <c r="B26" s="4">
        <f t="shared" si="95"/>
        <v>0.45499932532721632</v>
      </c>
      <c r="C26" s="4">
        <f t="shared" si="95"/>
        <v>0.44352331606217615</v>
      </c>
      <c r="D26" s="4">
        <f t="shared" si="95"/>
        <v>0.42682148781421464</v>
      </c>
      <c r="E26" s="4">
        <f t="shared" si="95"/>
        <v>0.4037452290076336</v>
      </c>
      <c r="F26" s="4">
        <f t="shared" si="95"/>
        <v>0.38244210015763308</v>
      </c>
      <c r="G26" s="4">
        <f t="shared" si="95"/>
        <v>0.36185051726142042</v>
      </c>
      <c r="H26" s="4">
        <f t="shared" si="95"/>
        <v>0.37008721869279637</v>
      </c>
      <c r="I26" s="4">
        <f t="shared" si="95"/>
        <v>0.36387614678899083</v>
      </c>
      <c r="J26" s="4">
        <f t="shared" si="95"/>
        <v>0.35464797985327934</v>
      </c>
      <c r="K26" s="4">
        <f t="shared" si="97"/>
        <v>0.34573726541554961</v>
      </c>
      <c r="R26" s="4">
        <f t="shared" si="96"/>
        <v>0.43142383261035977</v>
      </c>
      <c r="S26" s="4">
        <f t="shared" si="96"/>
        <v>0.36942364517887366</v>
      </c>
      <c r="W26" t="s">
        <v>2</v>
      </c>
    </row>
    <row r="27" spans="1:60" x14ac:dyDescent="0.25">
      <c r="A27" t="s">
        <v>48</v>
      </c>
      <c r="B27" s="4">
        <f t="shared" si="95"/>
        <v>8.8517069221427602E-2</v>
      </c>
      <c r="C27" s="4">
        <f t="shared" si="95"/>
        <v>8.3808290155440418E-2</v>
      </c>
      <c r="D27" s="4">
        <f t="shared" si="95"/>
        <v>8.4726298328442001E-2</v>
      </c>
      <c r="E27" s="4">
        <f t="shared" si="95"/>
        <v>6.9895038167938933E-2</v>
      </c>
      <c r="F27" s="4">
        <f t="shared" si="95"/>
        <v>7.7361464775069722E-2</v>
      </c>
      <c r="G27" s="4">
        <f t="shared" si="95"/>
        <v>7.3462745553876552E-2</v>
      </c>
      <c r="H27" s="4">
        <f t="shared" si="95"/>
        <v>6.8052115860880807E-2</v>
      </c>
      <c r="I27" s="4">
        <f t="shared" si="95"/>
        <v>7.247706422018349E-2</v>
      </c>
      <c r="J27" s="4">
        <f t="shared" si="95"/>
        <v>7.0842001532902654E-2</v>
      </c>
      <c r="K27" s="4">
        <f t="shared" si="97"/>
        <v>7.6246648793565686E-2</v>
      </c>
      <c r="R27" s="4">
        <f t="shared" si="96"/>
        <v>8.1430211788721618E-2</v>
      </c>
      <c r="S27" s="4">
        <f t="shared" si="96"/>
        <v>7.269701925007889E-2</v>
      </c>
    </row>
    <row r="28" spans="1:60" x14ac:dyDescent="0.25">
      <c r="A28" t="s">
        <v>49</v>
      </c>
      <c r="B28" s="4">
        <f t="shared" ref="B28:J28" si="98">+B14/B4</f>
        <v>2.698691134799622E-3</v>
      </c>
      <c r="C28" s="4">
        <f t="shared" si="98"/>
        <v>2.5000000000000001E-2</v>
      </c>
      <c r="D28" s="4">
        <f t="shared" si="98"/>
        <v>5.8695929564884522E-2</v>
      </c>
      <c r="E28" s="4">
        <f t="shared" si="98"/>
        <v>4.2581106870229007E-2</v>
      </c>
      <c r="F28" s="4">
        <f t="shared" si="98"/>
        <v>4.9957560324966656E-2</v>
      </c>
      <c r="G28" s="4">
        <f t="shared" si="98"/>
        <v>0.17156805765430663</v>
      </c>
      <c r="H28" s="4">
        <f t="shared" si="98"/>
        <v>0.17465274038979217</v>
      </c>
      <c r="I28" s="4">
        <f t="shared" si="98"/>
        <v>0.17213302752293577</v>
      </c>
      <c r="J28" s="4">
        <f t="shared" si="98"/>
        <v>0.18712361765027921</v>
      </c>
      <c r="K28" s="4">
        <f>+K14/K4</f>
        <v>0.1912064343163539</v>
      </c>
      <c r="R28" s="4">
        <f t="shared" ref="R28:S28" si="99">+R14/R4</f>
        <v>3.2852768563409032E-2</v>
      </c>
      <c r="S28" s="4">
        <f t="shared" si="99"/>
        <v>0.14375878589666352</v>
      </c>
    </row>
    <row r="29" spans="1:60" x14ac:dyDescent="0.25">
      <c r="A29" t="s">
        <v>50</v>
      </c>
      <c r="B29" s="4">
        <f t="shared" ref="B29:J29" si="100">+B17/B16</f>
        <v>-1.9655172413793103</v>
      </c>
      <c r="C29" s="4">
        <f t="shared" si="100"/>
        <v>-0.62430939226519333</v>
      </c>
      <c r="D29" s="4">
        <f t="shared" si="100"/>
        <v>-0.55789473684210522</v>
      </c>
      <c r="E29" s="4">
        <f t="shared" si="100"/>
        <v>-3.9696969696969697</v>
      </c>
      <c r="F29" s="4">
        <f t="shared" si="100"/>
        <v>-0.38957055214723929</v>
      </c>
      <c r="G29" s="4">
        <f t="shared" si="100"/>
        <v>-0.15080428954423591</v>
      </c>
      <c r="H29" s="4">
        <f t="shared" si="100"/>
        <v>-0.1209726443768997</v>
      </c>
      <c r="I29" s="4">
        <f t="shared" si="100"/>
        <v>-0.17686617350369871</v>
      </c>
      <c r="J29" s="4">
        <f t="shared" si="100"/>
        <v>-0.17889662560257097</v>
      </c>
      <c r="K29" s="4">
        <f>+K17/K16</f>
        <v>-0.22210125204137179</v>
      </c>
      <c r="R29" s="4">
        <f t="shared" ref="R29:S29" si="101">+R17/R16</f>
        <v>-0.68484848484848482</v>
      </c>
      <c r="S29" s="4">
        <f t="shared" si="101"/>
        <v>-0.16444444444444445</v>
      </c>
    </row>
    <row r="31" spans="1:60" x14ac:dyDescent="0.25">
      <c r="A31" t="s">
        <v>51</v>
      </c>
      <c r="K31">
        <f>+K33-K43</f>
        <v>9223</v>
      </c>
      <c r="S31">
        <f>+S33-S43</f>
        <v>9616</v>
      </c>
      <c r="T31">
        <f>+S31+T18</f>
        <v>16485.199000000004</v>
      </c>
      <c r="U31">
        <f t="shared" ref="U31:AJ31" si="102">+T31+U18</f>
        <v>24474.364558000008</v>
      </c>
      <c r="V31">
        <f t="shared" si="102"/>
        <v>33693.328002196016</v>
      </c>
      <c r="W31">
        <f t="shared" si="102"/>
        <v>44261.173761075377</v>
      </c>
      <c r="X31">
        <f t="shared" si="102"/>
        <v>56306.965973077567</v>
      </c>
      <c r="Y31">
        <f t="shared" si="102"/>
        <v>69970.529985405141</v>
      </c>
      <c r="Z31">
        <f t="shared" si="102"/>
        <v>85403.29279219007</v>
      </c>
      <c r="AA31">
        <f t="shared" si="102"/>
        <v>102769.18675660105</v>
      </c>
      <c r="AB31">
        <f t="shared" si="102"/>
        <v>122245.62127703836</v>
      </c>
      <c r="AC31">
        <f t="shared" si="102"/>
        <v>144024.52739581844</v>
      </c>
      <c r="AD31">
        <f t="shared" si="102"/>
        <v>168313.48071132039</v>
      </c>
      <c r="AE31">
        <f t="shared" si="102"/>
        <v>195336.90834318774</v>
      </c>
      <c r="AF31">
        <f t="shared" si="102"/>
        <v>225337.38611671171</v>
      </c>
      <c r="AG31">
        <f t="shared" si="102"/>
        <v>258577.03257895529</v>
      </c>
      <c r="AH31">
        <f t="shared" si="102"/>
        <v>295339.00693764759</v>
      </c>
      <c r="AI31">
        <f t="shared" si="102"/>
        <v>335929.11852666759</v>
      </c>
      <c r="AJ31">
        <f t="shared" si="102"/>
        <v>380677.55595149094</v>
      </c>
    </row>
    <row r="33" spans="1:19" x14ac:dyDescent="0.25">
      <c r="A33" t="s">
        <v>5</v>
      </c>
      <c r="K33">
        <f>7682+4954+5017</f>
        <v>17653</v>
      </c>
      <c r="S33">
        <f>8472+5722+4848</f>
        <v>19042</v>
      </c>
    </row>
    <row r="34" spans="1:19" x14ac:dyDescent="0.25">
      <c r="A34" t="s">
        <v>52</v>
      </c>
      <c r="K34">
        <v>5391</v>
      </c>
      <c r="S34">
        <v>11414</v>
      </c>
    </row>
    <row r="35" spans="1:19" x14ac:dyDescent="0.25">
      <c r="A35" t="s">
        <v>53</v>
      </c>
      <c r="K35">
        <f>1851+2201</f>
        <v>4052</v>
      </c>
      <c r="S35">
        <f>1905+2515</f>
        <v>4420</v>
      </c>
    </row>
    <row r="36" spans="1:19" x14ac:dyDescent="0.25">
      <c r="A36" t="s">
        <v>54</v>
      </c>
      <c r="K36">
        <v>1984</v>
      </c>
      <c r="S36">
        <v>1561</v>
      </c>
    </row>
    <row r="37" spans="1:19" x14ac:dyDescent="0.25">
      <c r="A37" t="s">
        <v>55</v>
      </c>
      <c r="K37">
        <v>3580</v>
      </c>
      <c r="S37">
        <v>3689</v>
      </c>
    </row>
    <row r="38" spans="1:19" x14ac:dyDescent="0.25">
      <c r="A38" t="s">
        <v>56</v>
      </c>
      <c r="K38">
        <v>2130</v>
      </c>
      <c r="S38">
        <v>2366</v>
      </c>
    </row>
    <row r="39" spans="1:19" x14ac:dyDescent="0.25">
      <c r="A39" t="s">
        <v>57</v>
      </c>
      <c r="K39">
        <f>48941+4415</f>
        <v>53356</v>
      </c>
      <c r="S39">
        <f>48620+5278</f>
        <v>53898</v>
      </c>
    </row>
    <row r="40" spans="1:19" x14ac:dyDescent="0.25">
      <c r="A40" t="s">
        <v>58</v>
      </c>
      <c r="K40">
        <v>4034</v>
      </c>
      <c r="S40">
        <v>3433</v>
      </c>
    </row>
    <row r="41" spans="1:19" x14ac:dyDescent="0.25">
      <c r="A41" t="s">
        <v>59</v>
      </c>
      <c r="K41">
        <f>SUM(K33:K40)</f>
        <v>92180</v>
      </c>
      <c r="S41">
        <f>SUM(S33:S40)</f>
        <v>99823</v>
      </c>
    </row>
    <row r="43" spans="1:19" x14ac:dyDescent="0.25">
      <c r="A43" t="s">
        <v>6</v>
      </c>
      <c r="K43">
        <f>8430+0</f>
        <v>8430</v>
      </c>
      <c r="S43">
        <f>999+8427</f>
        <v>9426</v>
      </c>
    </row>
    <row r="44" spans="1:19" x14ac:dyDescent="0.25">
      <c r="A44" t="s">
        <v>60</v>
      </c>
      <c r="K44">
        <v>5220</v>
      </c>
      <c r="S44">
        <v>6111</v>
      </c>
    </row>
    <row r="45" spans="1:19" x14ac:dyDescent="0.25">
      <c r="A45" t="s">
        <v>61</v>
      </c>
      <c r="K45">
        <f>559+2404</f>
        <v>2963</v>
      </c>
      <c r="S45">
        <f>518+2644</f>
        <v>3162</v>
      </c>
    </row>
    <row r="46" spans="1:19" x14ac:dyDescent="0.25">
      <c r="A46" t="s">
        <v>62</v>
      </c>
      <c r="K46">
        <v>15222</v>
      </c>
      <c r="S46">
        <v>19003</v>
      </c>
    </row>
    <row r="47" spans="1:19" x14ac:dyDescent="0.25">
      <c r="A47" t="s">
        <v>63</v>
      </c>
      <c r="K47">
        <v>2712</v>
      </c>
      <c r="S47">
        <v>2475</v>
      </c>
    </row>
    <row r="48" spans="1:19" x14ac:dyDescent="0.25">
      <c r="A48" t="s">
        <v>64</v>
      </c>
      <c r="K48">
        <f>SUM(K43:K47)</f>
        <v>34547</v>
      </c>
      <c r="S48">
        <f>SUM(S43:S47)</f>
        <v>40177</v>
      </c>
    </row>
    <row r="50" spans="1:20" x14ac:dyDescent="0.25">
      <c r="A50" t="s">
        <v>65</v>
      </c>
      <c r="K50">
        <f>+K41-K48</f>
        <v>57633</v>
      </c>
      <c r="S50">
        <f>+S41-S48</f>
        <v>59646</v>
      </c>
    </row>
    <row r="51" spans="1:20" x14ac:dyDescent="0.25">
      <c r="A51" t="s">
        <v>66</v>
      </c>
      <c r="K51">
        <f>+K48+K50</f>
        <v>92180</v>
      </c>
      <c r="S51">
        <f>+S48+S50</f>
        <v>99823</v>
      </c>
    </row>
    <row r="53" spans="1:20" x14ac:dyDescent="0.25">
      <c r="A53" t="s">
        <v>67</v>
      </c>
      <c r="K53" s="4">
        <f>+K18/K41</f>
        <v>1.550227815144283E-2</v>
      </c>
      <c r="S53" s="4">
        <f>+S18/S41</f>
        <v>4.1433337006501508E-2</v>
      </c>
      <c r="T53" t="s">
        <v>2</v>
      </c>
    </row>
    <row r="54" spans="1:20" x14ac:dyDescent="0.25">
      <c r="A54" t="s">
        <v>68</v>
      </c>
      <c r="K54" s="4">
        <f>+K18/K50</f>
        <v>2.4794822410771605E-2</v>
      </c>
      <c r="S54" s="4">
        <f>+S18/S50</f>
        <v>6.9342453810817148E-2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e0fd296-9832-4e10-a7ad-2bcee574d3b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8CBFEB144F63F4E9EB43CF067A3FDD2" ma:contentTypeVersion="9" ma:contentTypeDescription="Criar um novo documento." ma:contentTypeScope="" ma:versionID="f59182e7d3e0cf5298e8ad942a121699">
  <xsd:schema xmlns:xsd="http://www.w3.org/2001/XMLSchema" xmlns:xs="http://www.w3.org/2001/XMLSchema" xmlns:p="http://schemas.microsoft.com/office/2006/metadata/properties" xmlns:ns3="de0fd296-9832-4e10-a7ad-2bcee574d3b0" xmlns:ns4="02570eab-4ecf-4bb5-b806-a666b23f79b6" targetNamespace="http://schemas.microsoft.com/office/2006/metadata/properties" ma:root="true" ma:fieldsID="f61c57c9eb7d1a1f1952f23e1a76f510" ns3:_="" ns4:_="">
    <xsd:import namespace="de0fd296-9832-4e10-a7ad-2bcee574d3b0"/>
    <xsd:import namespace="02570eab-4ecf-4bb5-b806-a666b23f79b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0fd296-9832-4e10-a7ad-2bcee574d3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570eab-4ecf-4bb5-b806-a666b23f79b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Sugestão de Partilh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237549-99A7-4CB3-BCD2-44041BA93EBB}">
  <ds:schemaRefs>
    <ds:schemaRef ds:uri="http://schemas.microsoft.com/office/2006/metadata/properties"/>
    <ds:schemaRef ds:uri="http://schemas.microsoft.com/office/infopath/2007/PartnerControls"/>
    <ds:schemaRef ds:uri="de0fd296-9832-4e10-a7ad-2bcee574d3b0"/>
  </ds:schemaRefs>
</ds:datastoreItem>
</file>

<file path=customXml/itemProps2.xml><?xml version="1.0" encoding="utf-8"?>
<ds:datastoreItem xmlns:ds="http://schemas.openxmlformats.org/officeDocument/2006/customXml" ds:itemID="{A798A28A-094B-4612-8A1F-0C9059BB6AC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7D1269-84B5-4E7A-9416-F61D85E917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0fd296-9832-4e10-a7ad-2bcee574d3b0"/>
    <ds:schemaRef ds:uri="02570eab-4ecf-4bb5-b806-a666b23f79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Simão Clemente</dc:creator>
  <cp:keywords/>
  <dc:description/>
  <cp:lastModifiedBy>Simão Clemente</cp:lastModifiedBy>
  <cp:revision/>
  <dcterms:created xsi:type="dcterms:W3CDTF">2024-10-01T13:39:30Z</dcterms:created>
  <dcterms:modified xsi:type="dcterms:W3CDTF">2024-10-02T16:51:36Z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0x01010078CBFEB144F63F4E9EB43CF067A3FDD2</vt:lpwstr>
  </property>
</Properties>
</file>