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539" documentId="8_{18BF467A-6016-4CBC-A6CB-CEEFC7B25F25}" xr6:coauthVersionLast="47" xr6:coauthVersionMax="47" xr10:uidLastSave="{98FDC7EE-E3EB-4D6C-A237-F67971249BB9}"/>
  <bookViews>
    <workbookView xWindow="-108" yWindow="-108" windowWidth="23256" windowHeight="12456" activeTab="1" xr2:uid="{B637A392-6517-4A72-B23B-FB906212EF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2" l="1"/>
  <c r="R43" i="2"/>
  <c r="R31" i="2"/>
  <c r="R39" i="2"/>
  <c r="R28" i="2"/>
  <c r="S11" i="2" s="1"/>
  <c r="K45" i="2"/>
  <c r="K43" i="2"/>
  <c r="K31" i="2"/>
  <c r="K28" i="2" s="1"/>
  <c r="K33" i="2"/>
  <c r="L5" i="1"/>
  <c r="C26" i="2"/>
  <c r="B26" i="2"/>
  <c r="R48" i="2" l="1"/>
  <c r="R29" i="2"/>
  <c r="K48" i="2"/>
  <c r="K39" i="2"/>
  <c r="K50" i="2" s="1"/>
  <c r="K51" i="2" s="1"/>
  <c r="R50" i="2"/>
  <c r="E24" i="2"/>
  <c r="D24" i="2"/>
  <c r="C24" i="2"/>
  <c r="B24" i="2"/>
  <c r="E22" i="2"/>
  <c r="D22" i="2"/>
  <c r="C22" i="2"/>
  <c r="B22" i="2"/>
  <c r="K24" i="2"/>
  <c r="J24" i="2"/>
  <c r="I24" i="2"/>
  <c r="H24" i="2"/>
  <c r="G24" i="2"/>
  <c r="K22" i="2"/>
  <c r="J22" i="2"/>
  <c r="I22" i="2"/>
  <c r="H22" i="2"/>
  <c r="G22" i="2"/>
  <c r="F24" i="2"/>
  <c r="F22" i="2"/>
  <c r="K18" i="2"/>
  <c r="J18" i="2"/>
  <c r="I18" i="2"/>
  <c r="H18" i="2"/>
  <c r="G18" i="2"/>
  <c r="F18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R13" i="2"/>
  <c r="R11" i="2"/>
  <c r="R8" i="2"/>
  <c r="R7" i="2"/>
  <c r="S7" i="2" s="1"/>
  <c r="R6" i="2"/>
  <c r="R4" i="2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R3" i="2"/>
  <c r="Q16" i="2"/>
  <c r="Q13" i="2"/>
  <c r="Q11" i="2"/>
  <c r="Q8" i="2"/>
  <c r="Q7" i="2"/>
  <c r="Q6" i="2"/>
  <c r="Q4" i="2"/>
  <c r="Q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14" i="2"/>
  <c r="B15" i="2" s="1"/>
  <c r="B9" i="2"/>
  <c r="B5" i="2"/>
  <c r="B23" i="2" s="1"/>
  <c r="C9" i="2"/>
  <c r="C5" i="2"/>
  <c r="C21" i="2" s="1"/>
  <c r="D9" i="2"/>
  <c r="D5" i="2"/>
  <c r="D23" i="2" s="1"/>
  <c r="H9" i="2"/>
  <c r="H5" i="2"/>
  <c r="H23" i="2" s="1"/>
  <c r="E9" i="2"/>
  <c r="E5" i="2"/>
  <c r="E23" i="2" s="1"/>
  <c r="I9" i="2"/>
  <c r="I5" i="2"/>
  <c r="I23" i="2" s="1"/>
  <c r="F9" i="2"/>
  <c r="F5" i="2"/>
  <c r="F21" i="2" s="1"/>
  <c r="J9" i="2"/>
  <c r="J5" i="2"/>
  <c r="J21" i="2" s="1"/>
  <c r="G9" i="2"/>
  <c r="G5" i="2"/>
  <c r="G23" i="2" s="1"/>
  <c r="K9" i="2"/>
  <c r="K5" i="2"/>
  <c r="K21" i="2" s="1"/>
  <c r="L7" i="1"/>
  <c r="L3" i="1"/>
  <c r="L4" i="1" s="1"/>
  <c r="R51" i="2" l="1"/>
  <c r="Q5" i="2"/>
  <c r="R24" i="2"/>
  <c r="S8" i="2"/>
  <c r="T7" i="2"/>
  <c r="R5" i="2"/>
  <c r="R18" i="2" s="1"/>
  <c r="S3" i="2"/>
  <c r="Q22" i="2"/>
  <c r="R22" i="2"/>
  <c r="S6" i="2"/>
  <c r="C23" i="2"/>
  <c r="J23" i="2"/>
  <c r="Q21" i="2"/>
  <c r="Q23" i="2"/>
  <c r="R9" i="2"/>
  <c r="R10" i="2" s="1"/>
  <c r="R25" i="2" s="1"/>
  <c r="F23" i="2"/>
  <c r="K23" i="2"/>
  <c r="D21" i="2"/>
  <c r="Q24" i="2"/>
  <c r="E21" i="2"/>
  <c r="Q9" i="2"/>
  <c r="Q10" i="2" s="1"/>
  <c r="Q25" i="2" s="1"/>
  <c r="G21" i="2"/>
  <c r="H21" i="2"/>
  <c r="I21" i="2"/>
  <c r="G10" i="2"/>
  <c r="G25" i="2" s="1"/>
  <c r="E10" i="2"/>
  <c r="E25" i="2" s="1"/>
  <c r="B21" i="2"/>
  <c r="B10" i="2"/>
  <c r="B25" i="2" s="1"/>
  <c r="C10" i="2"/>
  <c r="C25" i="2" s="1"/>
  <c r="D10" i="2"/>
  <c r="D25" i="2" s="1"/>
  <c r="H10" i="2"/>
  <c r="H25" i="2" s="1"/>
  <c r="I10" i="2"/>
  <c r="I25" i="2" s="1"/>
  <c r="F10" i="2"/>
  <c r="F25" i="2" s="1"/>
  <c r="J10" i="2"/>
  <c r="J25" i="2" s="1"/>
  <c r="K10" i="2"/>
  <c r="K25" i="2" s="1"/>
  <c r="R23" i="2" l="1"/>
  <c r="S5" i="2"/>
  <c r="T3" i="2"/>
  <c r="U7" i="2"/>
  <c r="R21" i="2"/>
  <c r="S22" i="2"/>
  <c r="T6" i="2"/>
  <c r="S9" i="2"/>
  <c r="S24" i="2"/>
  <c r="T8" i="2"/>
  <c r="R12" i="2"/>
  <c r="Q12" i="2"/>
  <c r="H12" i="2"/>
  <c r="J12" i="2"/>
  <c r="D12" i="2"/>
  <c r="C14" i="2"/>
  <c r="C15" i="2" s="1"/>
  <c r="F12" i="2"/>
  <c r="E12" i="2"/>
  <c r="K12" i="2"/>
  <c r="I12" i="2"/>
  <c r="G12" i="2"/>
  <c r="S18" i="2" l="1"/>
  <c r="S21" i="2"/>
  <c r="S23" i="2"/>
  <c r="D14" i="2"/>
  <c r="D15" i="2" s="1"/>
  <c r="D26" i="2"/>
  <c r="J14" i="2"/>
  <c r="J26" i="2"/>
  <c r="G14" i="2"/>
  <c r="G26" i="2"/>
  <c r="H14" i="2"/>
  <c r="H26" i="2"/>
  <c r="S10" i="2"/>
  <c r="I14" i="2"/>
  <c r="I26" i="2"/>
  <c r="Q14" i="2"/>
  <c r="Q15" i="2" s="1"/>
  <c r="Q26" i="2"/>
  <c r="K14" i="2"/>
  <c r="K26" i="2"/>
  <c r="R14" i="2"/>
  <c r="R26" i="2"/>
  <c r="U6" i="2"/>
  <c r="T22" i="2"/>
  <c r="T9" i="2"/>
  <c r="E14" i="2"/>
  <c r="E15" i="2" s="1"/>
  <c r="E26" i="2"/>
  <c r="V7" i="2"/>
  <c r="F14" i="2"/>
  <c r="F26" i="2"/>
  <c r="U8" i="2"/>
  <c r="T24" i="2"/>
  <c r="U3" i="2"/>
  <c r="T5" i="2"/>
  <c r="R15" i="2" l="1"/>
  <c r="R53" i="2"/>
  <c r="R54" i="2"/>
  <c r="K54" i="2"/>
  <c r="K53" i="2"/>
  <c r="H15" i="2"/>
  <c r="H19" i="2"/>
  <c r="T18" i="2"/>
  <c r="T21" i="2"/>
  <c r="T10" i="2"/>
  <c r="T25" i="2" s="1"/>
  <c r="T23" i="2"/>
  <c r="K15" i="2"/>
  <c r="K19" i="2"/>
  <c r="G15" i="2"/>
  <c r="G19" i="2"/>
  <c r="R19" i="2"/>
  <c r="V8" i="2"/>
  <c r="U24" i="2"/>
  <c r="J15" i="2"/>
  <c r="J19" i="2"/>
  <c r="W7" i="2"/>
  <c r="V3" i="2"/>
  <c r="U5" i="2"/>
  <c r="V6" i="2"/>
  <c r="U9" i="2"/>
  <c r="U22" i="2"/>
  <c r="I15" i="2"/>
  <c r="I19" i="2"/>
  <c r="F15" i="2"/>
  <c r="F19" i="2"/>
  <c r="S25" i="2"/>
  <c r="S12" i="2"/>
  <c r="X7" i="2" l="1"/>
  <c r="S13" i="2"/>
  <c r="S26" i="2" s="1"/>
  <c r="W6" i="2"/>
  <c r="V9" i="2"/>
  <c r="V22" i="2"/>
  <c r="W8" i="2"/>
  <c r="V24" i="2"/>
  <c r="U18" i="2"/>
  <c r="U10" i="2"/>
  <c r="U21" i="2"/>
  <c r="U23" i="2"/>
  <c r="W3" i="2"/>
  <c r="V5" i="2"/>
  <c r="X8" i="2" l="1"/>
  <c r="W24" i="2"/>
  <c r="W5" i="2"/>
  <c r="X3" i="2"/>
  <c r="V21" i="2"/>
  <c r="V18" i="2"/>
  <c r="V10" i="2"/>
  <c r="V23" i="2"/>
  <c r="X6" i="2"/>
  <c r="W22" i="2"/>
  <c r="W9" i="2"/>
  <c r="S14" i="2"/>
  <c r="Y7" i="2"/>
  <c r="U25" i="2"/>
  <c r="Y6" i="2" l="1"/>
  <c r="X22" i="2"/>
  <c r="X9" i="2"/>
  <c r="V25" i="2"/>
  <c r="Z7" i="2"/>
  <c r="S15" i="2"/>
  <c r="S28" i="2"/>
  <c r="S19" i="2"/>
  <c r="Y8" i="2"/>
  <c r="X24" i="2"/>
  <c r="Y3" i="2"/>
  <c r="X5" i="2"/>
  <c r="W21" i="2"/>
  <c r="W10" i="2"/>
  <c r="W18" i="2"/>
  <c r="W23" i="2"/>
  <c r="T11" i="2" l="1"/>
  <c r="T12" i="2" s="1"/>
  <c r="W25" i="2"/>
  <c r="X10" i="2"/>
  <c r="X18" i="2"/>
  <c r="X21" i="2"/>
  <c r="X23" i="2"/>
  <c r="AA7" i="2"/>
  <c r="Z3" i="2"/>
  <c r="Y5" i="2"/>
  <c r="Z6" i="2"/>
  <c r="Y22" i="2"/>
  <c r="Y9" i="2"/>
  <c r="Z8" i="2"/>
  <c r="Y24" i="2"/>
  <c r="AA3" i="2" l="1"/>
  <c r="Z5" i="2"/>
  <c r="T13" i="2"/>
  <c r="T26" i="2" s="1"/>
  <c r="T14" i="2"/>
  <c r="AB7" i="2"/>
  <c r="AA8" i="2"/>
  <c r="Z24" i="2"/>
  <c r="AA6" i="2"/>
  <c r="Z22" i="2"/>
  <c r="Z9" i="2"/>
  <c r="X25" i="2"/>
  <c r="Y18" i="2"/>
  <c r="Y10" i="2"/>
  <c r="Y21" i="2"/>
  <c r="Y23" i="2"/>
  <c r="Z21" i="2" l="1"/>
  <c r="Z18" i="2"/>
  <c r="Z10" i="2"/>
  <c r="Z23" i="2"/>
  <c r="AB6" i="2"/>
  <c r="AA22" i="2"/>
  <c r="AA9" i="2"/>
  <c r="AA5" i="2"/>
  <c r="AB3" i="2"/>
  <c r="Y25" i="2"/>
  <c r="AB8" i="2"/>
  <c r="AA24" i="2"/>
  <c r="AC7" i="2"/>
  <c r="T15" i="2"/>
  <c r="T19" i="2"/>
  <c r="T28" i="2"/>
  <c r="AC3" i="2" l="1"/>
  <c r="AB5" i="2"/>
  <c r="U11" i="2"/>
  <c r="U12" i="2" s="1"/>
  <c r="AA21" i="2"/>
  <c r="AA10" i="2"/>
  <c r="AA18" i="2"/>
  <c r="AA23" i="2"/>
  <c r="AD7" i="2"/>
  <c r="AC6" i="2"/>
  <c r="AB22" i="2"/>
  <c r="AB9" i="2"/>
  <c r="AC8" i="2"/>
  <c r="AB24" i="2"/>
  <c r="Z25" i="2"/>
  <c r="AD3" i="2" l="1"/>
  <c r="AC5" i="2"/>
  <c r="AB21" i="2"/>
  <c r="AB10" i="2"/>
  <c r="AB18" i="2"/>
  <c r="AB23" i="2"/>
  <c r="AA25" i="2"/>
  <c r="AE7" i="2"/>
  <c r="AD8" i="2"/>
  <c r="AC24" i="2"/>
  <c r="AD6" i="2"/>
  <c r="AC9" i="2"/>
  <c r="AC22" i="2"/>
  <c r="U13" i="2"/>
  <c r="U26" i="2" s="1"/>
  <c r="U14" i="2" l="1"/>
  <c r="AE8" i="2"/>
  <c r="AD24" i="2"/>
  <c r="AC10" i="2"/>
  <c r="AC21" i="2"/>
  <c r="AC18" i="2"/>
  <c r="AC23" i="2"/>
  <c r="AD9" i="2"/>
  <c r="AD5" i="2"/>
  <c r="AE3" i="2"/>
  <c r="U19" i="2"/>
  <c r="U15" i="2"/>
  <c r="U28" i="2"/>
  <c r="AB25" i="2"/>
  <c r="AF7" i="2"/>
  <c r="AE6" i="2"/>
  <c r="AD22" i="2"/>
  <c r="AF3" i="2" l="1"/>
  <c r="AE5" i="2"/>
  <c r="AF6" i="2"/>
  <c r="AE9" i="2"/>
  <c r="AE22" i="2"/>
  <c r="AF8" i="2"/>
  <c r="AE24" i="2"/>
  <c r="AD10" i="2"/>
  <c r="AD25" i="2" s="1"/>
  <c r="AD21" i="2"/>
  <c r="AD18" i="2"/>
  <c r="AD23" i="2"/>
  <c r="AG7" i="2"/>
  <c r="V11" i="2"/>
  <c r="V12" i="2" s="1"/>
  <c r="AC25" i="2"/>
  <c r="AE10" i="2" l="1"/>
  <c r="AE25" i="2" s="1"/>
  <c r="AE21" i="2"/>
  <c r="AE18" i="2"/>
  <c r="AE23" i="2"/>
  <c r="AG3" i="2"/>
  <c r="AF5" i="2"/>
  <c r="AG8" i="2"/>
  <c r="AF24" i="2"/>
  <c r="V13" i="2"/>
  <c r="V26" i="2" s="1"/>
  <c r="AH7" i="2"/>
  <c r="AF9" i="2"/>
  <c r="AG6" i="2"/>
  <c r="AF22" i="2"/>
  <c r="AF10" i="2" l="1"/>
  <c r="AF25" i="2" s="1"/>
  <c r="V14" i="2"/>
  <c r="V15" i="2" s="1"/>
  <c r="AH8" i="2"/>
  <c r="AG24" i="2"/>
  <c r="AH6" i="2"/>
  <c r="AG9" i="2"/>
  <c r="AG22" i="2"/>
  <c r="AF21" i="2"/>
  <c r="AF18" i="2"/>
  <c r="AF23" i="2"/>
  <c r="AH3" i="2"/>
  <c r="AG5" i="2"/>
  <c r="AI7" i="2"/>
  <c r="V28" i="2" l="1"/>
  <c r="W11" i="2" s="1"/>
  <c r="W12" i="2" s="1"/>
  <c r="V19" i="2"/>
  <c r="AI3" i="2"/>
  <c r="AI5" i="2" s="1"/>
  <c r="AH5" i="2"/>
  <c r="AI8" i="2"/>
  <c r="AH24" i="2"/>
  <c r="AG10" i="2"/>
  <c r="AG25" i="2" s="1"/>
  <c r="AG21" i="2"/>
  <c r="AG18" i="2"/>
  <c r="AG23" i="2"/>
  <c r="AI6" i="2"/>
  <c r="AH9" i="2"/>
  <c r="AH22" i="2"/>
  <c r="AI24" i="2" l="1"/>
  <c r="W13" i="2"/>
  <c r="W26" i="2" s="1"/>
  <c r="AI18" i="2"/>
  <c r="AI21" i="2"/>
  <c r="AH21" i="2"/>
  <c r="AH18" i="2"/>
  <c r="AH23" i="2"/>
  <c r="AH10" i="2"/>
  <c r="AH25" i="2" s="1"/>
  <c r="AI23" i="2"/>
  <c r="AI9" i="2"/>
  <c r="AI10" i="2" s="1"/>
  <c r="AI25" i="2" s="1"/>
  <c r="AI22" i="2"/>
  <c r="W14" i="2" l="1"/>
  <c r="W15" i="2" s="1"/>
  <c r="W19" i="2" l="1"/>
  <c r="W28" i="2"/>
  <c r="X11" i="2" s="1"/>
  <c r="X12" i="2" s="1"/>
  <c r="X13" i="2" l="1"/>
  <c r="X26" i="2" s="1"/>
  <c r="X14" i="2" l="1"/>
  <c r="X15" i="2" l="1"/>
  <c r="X19" i="2"/>
  <c r="X28" i="2"/>
  <c r="Y11" i="2" l="1"/>
  <c r="Y12" i="2" s="1"/>
  <c r="Y13" i="2" l="1"/>
  <c r="Y26" i="2" s="1"/>
  <c r="Y14" i="2" l="1"/>
  <c r="Y19" i="2" l="1"/>
  <c r="Y15" i="2"/>
  <c r="Y28" i="2"/>
  <c r="Z11" i="2" l="1"/>
  <c r="Z12" i="2" s="1"/>
  <c r="Z13" i="2" l="1"/>
  <c r="Z26" i="2" s="1"/>
  <c r="Z14" i="2" l="1"/>
  <c r="Z19" i="2" l="1"/>
  <c r="Z15" i="2"/>
  <c r="Z28" i="2"/>
  <c r="AA11" i="2" l="1"/>
  <c r="AA12" i="2" s="1"/>
  <c r="AA13" i="2" l="1"/>
  <c r="AA26" i="2" s="1"/>
  <c r="AA14" i="2" l="1"/>
  <c r="AA19" i="2" s="1"/>
  <c r="AA28" i="2" l="1"/>
  <c r="AB11" i="2" s="1"/>
  <c r="AB12" i="2" s="1"/>
  <c r="AA15" i="2"/>
  <c r="AB13" i="2" l="1"/>
  <c r="AB26" i="2" s="1"/>
  <c r="AB14" i="2" l="1"/>
  <c r="AB15" i="2" s="1"/>
  <c r="AB19" i="2" l="1"/>
  <c r="AB28" i="2"/>
  <c r="AC11" i="2" s="1"/>
  <c r="AC12" i="2" s="1"/>
  <c r="AC13" i="2" l="1"/>
  <c r="AC26" i="2" s="1"/>
  <c r="AC14" i="2" l="1"/>
  <c r="AC19" i="2" l="1"/>
  <c r="AC15" i="2"/>
  <c r="AC28" i="2"/>
  <c r="AD11" i="2" l="1"/>
  <c r="AD12" i="2" s="1"/>
  <c r="AD13" i="2" l="1"/>
  <c r="AD26" i="2" s="1"/>
  <c r="AD14" i="2" l="1"/>
  <c r="AD15" i="2" s="1"/>
  <c r="AD19" i="2" l="1"/>
  <c r="AD28" i="2"/>
  <c r="AE11" i="2" s="1"/>
  <c r="AE12" i="2" s="1"/>
  <c r="AE13" i="2" l="1"/>
  <c r="AE26" i="2" s="1"/>
  <c r="AE14" i="2" l="1"/>
  <c r="AE15" i="2" l="1"/>
  <c r="AE19" i="2"/>
  <c r="AE28" i="2"/>
  <c r="AF11" i="2" l="1"/>
  <c r="AF12" i="2" s="1"/>
  <c r="AF13" i="2" l="1"/>
  <c r="AF26" i="2" s="1"/>
  <c r="AF14" i="2" l="1"/>
  <c r="AF15" i="2" s="1"/>
  <c r="AF19" i="2" l="1"/>
  <c r="AF28" i="2"/>
  <c r="AG11" i="2" s="1"/>
  <c r="AG12" i="2" s="1"/>
  <c r="AG13" i="2" l="1"/>
  <c r="AG26" i="2" s="1"/>
  <c r="AG14" i="2" l="1"/>
  <c r="AG15" i="2" s="1"/>
  <c r="AG28" i="2" l="1"/>
  <c r="AH11" i="2" s="1"/>
  <c r="AH12" i="2" s="1"/>
  <c r="AG19" i="2"/>
  <c r="AH13" i="2" l="1"/>
  <c r="AH26" i="2" s="1"/>
  <c r="AH14" i="2" l="1"/>
  <c r="AH15" i="2" l="1"/>
  <c r="AH19" i="2"/>
  <c r="AH28" i="2"/>
  <c r="AI11" i="2" l="1"/>
  <c r="AI12" i="2" s="1"/>
  <c r="AI13" i="2" l="1"/>
  <c r="AI26" i="2" s="1"/>
  <c r="AI14" i="2" l="1"/>
  <c r="AJ14" i="2" l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N17" i="2" s="1"/>
  <c r="N18" i="2" s="1"/>
  <c r="N19" i="2" s="1"/>
  <c r="N20" i="2" s="1"/>
  <c r="AI15" i="2"/>
  <c r="AI19" i="2"/>
  <c r="AI28" i="2"/>
</calcChain>
</file>

<file path=xl/sharedStrings.xml><?xml version="1.0" encoding="utf-8"?>
<sst xmlns="http://schemas.openxmlformats.org/spreadsheetml/2006/main" count="85" uniqueCount="65">
  <si>
    <t>GOOGL</t>
  </si>
  <si>
    <t>Price</t>
  </si>
  <si>
    <t>Shares</t>
  </si>
  <si>
    <t>MC</t>
  </si>
  <si>
    <t>Cash</t>
  </si>
  <si>
    <t>Debt</t>
  </si>
  <si>
    <t>EV</t>
  </si>
  <si>
    <t xml:space="preserve"> </t>
  </si>
  <si>
    <t>2.02T</t>
  </si>
  <si>
    <t>Q224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</si>
  <si>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</si>
  <si>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</si>
  <si>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</si>
  <si>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</si>
  <si>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</si>
  <si>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</si>
  <si>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</si>
  <si>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</si>
  <si>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</si>
  <si>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Cost</t>
  </si>
  <si>
    <t>RD</t>
  </si>
  <si>
    <t>SM</t>
  </si>
  <si>
    <t>GA</t>
  </si>
  <si>
    <t>Opex</t>
  </si>
  <si>
    <t>Gross income</t>
  </si>
  <si>
    <t>Operating income</t>
  </si>
  <si>
    <t>Interest Income</t>
  </si>
  <si>
    <t>EBIT</t>
  </si>
  <si>
    <t>Taxes</t>
  </si>
  <si>
    <t>NI</t>
  </si>
  <si>
    <t>EPS</t>
  </si>
  <si>
    <t>Q122</t>
  </si>
  <si>
    <t>Revenue y/y</t>
  </si>
  <si>
    <t>Gross %</t>
  </si>
  <si>
    <t>RD %</t>
  </si>
  <si>
    <t>SM %</t>
  </si>
  <si>
    <t>GA %</t>
  </si>
  <si>
    <t>Op%</t>
  </si>
  <si>
    <t>Taxe rate</t>
  </si>
  <si>
    <t>NI y/y</t>
  </si>
  <si>
    <t>ROIC</t>
  </si>
  <si>
    <t>MR</t>
  </si>
  <si>
    <t>DR</t>
  </si>
  <si>
    <t>NPV</t>
  </si>
  <si>
    <t>NC</t>
  </si>
  <si>
    <t>TV</t>
  </si>
  <si>
    <t>Per share</t>
  </si>
  <si>
    <t>Ratio</t>
  </si>
  <si>
    <t>A/R</t>
  </si>
  <si>
    <t>OCA</t>
  </si>
  <si>
    <t>Terminal</t>
  </si>
  <si>
    <t>Assets</t>
  </si>
  <si>
    <t>PPE</t>
  </si>
  <si>
    <t>OLA</t>
  </si>
  <si>
    <t>Intangibles</t>
  </si>
  <si>
    <t>A/P</t>
  </si>
  <si>
    <t>A/Revenue</t>
  </si>
  <si>
    <t>Leases</t>
  </si>
  <si>
    <t>OL</t>
  </si>
  <si>
    <t>S/E</t>
  </si>
  <si>
    <t>L+S/E</t>
  </si>
  <si>
    <t>Liabilities</t>
  </si>
  <si>
    <t>ROA</t>
  </si>
  <si>
    <t>ROE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</si>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</sst>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0.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8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43" fontId="0" fillId="0" borderId="0" xfId="1" applyFont="1"/>
    <xf numFmtId="1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68580</xdr:rowOff>
    </xdr:from>
    <xdr:to>
      <xdr:col>11</xdr:col>
      <xdr:colOff>7620</xdr:colOff>
      <xdr:row>30</xdr:row>
      <xdr:rowOff>68580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E2A70277-C2B7-EFC1-E5EB-CC7639838F2E}"/>
            </a:ext>
          </a:extLst>
        </xdr:cNvPr>
        <xdr:cNvCxnSpPr/>
      </xdr:nvCxnSpPr>
      <xdr:spPr>
        <a:xfrm>
          <a:off x="8572500" y="68580"/>
          <a:ext cx="0" cy="49072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0</xdr:row>
      <xdr:rowOff>106680</xdr:rowOff>
    </xdr:from>
    <xdr:to>
      <xdr:col>18</xdr:col>
      <xdr:colOff>7620</xdr:colOff>
      <xdr:row>30</xdr:row>
      <xdr:rowOff>106680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84C7A331-D2B4-47C8-B6CA-BDA160D5A290}"/>
            </a:ext>
          </a:extLst>
        </xdr:cNvPr>
        <xdr:cNvCxnSpPr/>
      </xdr:nvCxnSpPr>
      <xdr:spPr>
        <a:xfrm>
          <a:off x="13258800" y="106680"/>
          <a:ext cx="0" cy="50825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CBD-DCC1-47A3-B612-DD4923AB2751}">
  <dimension ref="B2:M14"/>
  <sheetViews>
    <sheetView topLeftCell="E1" workbookViewId="0">
      <selection activeCell="L8" sqref="L8"/>
    </sheetView>
  </sheetViews>
  <sheetFormatPr defaultRowHeight="13.8" x14ac:dyDescent="0.25"/>
  <sheetData>
    <row r="2" spans="2:13" x14ac:dyDescent="0.25">
      <c r="B2" s="2" t="s">
        <v>0</v>
      </c>
      <c r="K2" t="s">
        <v>1</v>
      </c>
      <c r="L2" s="3">
        <v>164</v>
      </c>
    </row>
    <row r="3" spans="2:13" x14ac:dyDescent="0.25">
      <c r="K3" t="s">
        <v>2</v>
      </c>
      <c r="L3" s="3">
        <f>5859+5585+866</f>
        <v>12310</v>
      </c>
      <c r="M3" t="s">
        <v>9</v>
      </c>
    </row>
    <row r="4" spans="2:13" x14ac:dyDescent="0.25">
      <c r="K4" t="s">
        <v>3</v>
      </c>
      <c r="L4" s="3">
        <f>+L2*L3</f>
        <v>2018840</v>
      </c>
      <c r="M4" t="s">
        <v>8</v>
      </c>
    </row>
    <row r="5" spans="2:13" x14ac:dyDescent="0.25">
      <c r="K5" t="s">
        <v>4</v>
      </c>
      <c r="L5" s="3">
        <f>24048+86868+31008</f>
        <v>141924</v>
      </c>
      <c r="M5" t="s">
        <v>9</v>
      </c>
    </row>
    <row r="6" spans="2:13" x14ac:dyDescent="0.25">
      <c r="K6" t="s">
        <v>5</v>
      </c>
      <c r="L6" s="3">
        <v>13253</v>
      </c>
      <c r="M6" t="s">
        <v>9</v>
      </c>
    </row>
    <row r="7" spans="2:13" x14ac:dyDescent="0.25">
      <c r="K7" t="s">
        <v>6</v>
      </c>
      <c r="L7" s="3">
        <f>+L4-L5+L6</f>
        <v>1890169</v>
      </c>
    </row>
    <row r="14" spans="2:13" x14ac:dyDescent="0.25">
      <c r="L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591D-2946-4325-9D50-D86DC414D9A6}">
  <dimension ref="A2:BC54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W11" sqref="W11"/>
    </sheetView>
  </sheetViews>
  <sheetFormatPr defaultRowHeight="13.8" x14ac:dyDescent="0.25"/>
  <cols>
    <col min="1" max="1" width="16.59765625" bestFit="1" customWidth="1"/>
    <col min="2" max="2" width="16.59765625" customWidth="1"/>
    <col min="13" max="13" width="8.69921875" bestFit="1" customWidth="1"/>
    <col min="14" max="14" width="17.59765625" bestFit="1" customWidth="1"/>
  </cols>
  <sheetData>
    <row r="2" spans="1:55" x14ac:dyDescent="0.25">
      <c r="B2" t="s">
        <v>31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9</v>
      </c>
      <c r="Q2">
        <v>2022</v>
      </c>
      <c r="R2">
        <f>+Q2+1</f>
        <v>2023</v>
      </c>
      <c r="S2">
        <f t="shared" ref="S2:AI2" si="0">+R2+1</f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  <c r="AA2">
        <f t="shared" si="0"/>
        <v>2032</v>
      </c>
      <c r="AB2">
        <f t="shared" si="0"/>
        <v>2033</v>
      </c>
      <c r="AC2">
        <f t="shared" si="0"/>
        <v>2034</v>
      </c>
      <c r="AD2">
        <f t="shared" si="0"/>
        <v>2035</v>
      </c>
      <c r="AE2">
        <f t="shared" si="0"/>
        <v>2036</v>
      </c>
      <c r="AF2">
        <f t="shared" si="0"/>
        <v>2037</v>
      </c>
      <c r="AG2">
        <f t="shared" si="0"/>
        <v>2038</v>
      </c>
      <c r="AH2">
        <f t="shared" si="0"/>
        <v>2039</v>
      </c>
      <c r="AI2">
        <f t="shared" si="0"/>
        <v>2040</v>
      </c>
    </row>
    <row r="3" spans="1:55" s="1" customFormat="1" x14ac:dyDescent="0.25">
      <c r="A3" s="1" t="s">
        <v>18</v>
      </c>
      <c r="B3" s="7">
        <v>68011</v>
      </c>
      <c r="C3" s="7">
        <v>69685</v>
      </c>
      <c r="D3" s="7">
        <v>69092</v>
      </c>
      <c r="E3" s="7">
        <v>76048</v>
      </c>
      <c r="F3" s="7">
        <v>69787</v>
      </c>
      <c r="G3" s="7">
        <v>74604</v>
      </c>
      <c r="H3" s="7">
        <v>76693</v>
      </c>
      <c r="I3" s="7">
        <v>86310</v>
      </c>
      <c r="J3" s="7">
        <v>80539</v>
      </c>
      <c r="K3" s="7">
        <v>84742</v>
      </c>
      <c r="Q3" s="7">
        <f>SUM(B3:E3)</f>
        <v>282836</v>
      </c>
      <c r="R3" s="7">
        <f>SUM(F3:I3)</f>
        <v>307394</v>
      </c>
      <c r="S3" s="7">
        <f>+R3*1.05</f>
        <v>322763.7</v>
      </c>
      <c r="T3" s="7">
        <f t="shared" ref="T3:U3" si="1">+S3*1.05</f>
        <v>338901.88500000001</v>
      </c>
      <c r="U3" s="7">
        <f t="shared" si="1"/>
        <v>355846.97925000003</v>
      </c>
      <c r="V3" s="7">
        <f>+U3*(1-$N$15)</f>
        <v>377197.79800500005</v>
      </c>
      <c r="W3" s="7">
        <f>+V3*(1-$N$15)</f>
        <v>399829.66588530008</v>
      </c>
      <c r="X3" s="7">
        <f>+W3*(1-$N$15)</f>
        <v>423819.44583841809</v>
      </c>
      <c r="Y3" s="7">
        <f>+X3*(1-$N$15)</f>
        <v>449248.61258872319</v>
      </c>
      <c r="Z3" s="7">
        <f>+Y3*(1-$N$15)</f>
        <v>476203.5293440466</v>
      </c>
      <c r="AA3" s="7">
        <f>+Z3*(1-$N$15)</f>
        <v>504775.74110468943</v>
      </c>
      <c r="AB3" s="7">
        <f>+AA3*(1-$N$15)</f>
        <v>535062.28557097085</v>
      </c>
      <c r="AC3" s="7">
        <f>+AB3*(1-$N$15)</f>
        <v>567166.02270522912</v>
      </c>
      <c r="AD3" s="7">
        <f>+AC3*(1-$N$15)</f>
        <v>601195.98406754294</v>
      </c>
      <c r="AE3" s="7">
        <f>+AD3*(1-$N$15)</f>
        <v>637267.74311159551</v>
      </c>
      <c r="AF3" s="7">
        <f>+AE3*(1-$N$15)</f>
        <v>675503.80769829126</v>
      </c>
      <c r="AG3" s="7">
        <f>+AF3*(1-$N$15)</f>
        <v>716034.03616018873</v>
      </c>
      <c r="AH3" s="7">
        <f>+AG3*(1-$N$15)</f>
        <v>758996.07832980005</v>
      </c>
      <c r="AI3" s="7">
        <f>+AH3*(1-$N$15)</f>
        <v>804535.84302958811</v>
      </c>
    </row>
    <row r="4" spans="1:55" x14ac:dyDescent="0.25">
      <c r="A4" t="s">
        <v>19</v>
      </c>
      <c r="B4" s="3">
        <v>29599</v>
      </c>
      <c r="C4" s="3">
        <v>30104</v>
      </c>
      <c r="D4" s="3">
        <v>31158</v>
      </c>
      <c r="E4" s="3">
        <v>35342</v>
      </c>
      <c r="F4" s="3">
        <v>30612</v>
      </c>
      <c r="G4" s="3">
        <v>31916</v>
      </c>
      <c r="H4" s="3">
        <v>33229</v>
      </c>
      <c r="I4" s="3">
        <v>37575</v>
      </c>
      <c r="J4" s="3">
        <v>33712</v>
      </c>
      <c r="K4" s="3">
        <v>35507</v>
      </c>
      <c r="Q4" s="3">
        <f>SUM(B4:E4)</f>
        <v>126203</v>
      </c>
      <c r="R4" s="3">
        <f>SUM(F4:I4)</f>
        <v>133332</v>
      </c>
      <c r="S4" s="3">
        <f>+R4*1.04</f>
        <v>138665.28</v>
      </c>
      <c r="T4" s="3">
        <f t="shared" ref="T4:AI4" si="2">+S4*1.04</f>
        <v>144211.89120000001</v>
      </c>
      <c r="U4" s="3">
        <f t="shared" si="2"/>
        <v>149980.36684800001</v>
      </c>
      <c r="V4" s="3">
        <f t="shared" si="2"/>
        <v>155979.58152192002</v>
      </c>
      <c r="W4" s="3">
        <f t="shared" si="2"/>
        <v>162218.76478279682</v>
      </c>
      <c r="X4" s="3">
        <f t="shared" si="2"/>
        <v>168707.51537410868</v>
      </c>
      <c r="Y4" s="3">
        <f t="shared" si="2"/>
        <v>175455.81598907305</v>
      </c>
      <c r="Z4" s="3">
        <f t="shared" si="2"/>
        <v>182474.04862863597</v>
      </c>
      <c r="AA4" s="3">
        <f t="shared" si="2"/>
        <v>189773.01057378142</v>
      </c>
      <c r="AB4" s="3">
        <f t="shared" si="2"/>
        <v>197363.93099673267</v>
      </c>
      <c r="AC4" s="3">
        <f t="shared" si="2"/>
        <v>205258.48823660199</v>
      </c>
      <c r="AD4" s="3">
        <f t="shared" si="2"/>
        <v>213468.82776606607</v>
      </c>
      <c r="AE4" s="3">
        <f t="shared" si="2"/>
        <v>222007.58087670873</v>
      </c>
      <c r="AF4" s="3">
        <f t="shared" si="2"/>
        <v>230887.88411177709</v>
      </c>
      <c r="AG4" s="3">
        <f t="shared" si="2"/>
        <v>240123.39947624819</v>
      </c>
      <c r="AH4" s="3">
        <f t="shared" si="2"/>
        <v>249728.33545529813</v>
      </c>
      <c r="AI4" s="3">
        <f t="shared" si="2"/>
        <v>259717.46887351008</v>
      </c>
    </row>
    <row r="5" spans="1:55" s="1" customFormat="1" x14ac:dyDescent="0.25">
      <c r="A5" s="1" t="s">
        <v>24</v>
      </c>
      <c r="B5" s="7">
        <f t="shared" ref="B5:K5" si="3">+B3-B4</f>
        <v>38412</v>
      </c>
      <c r="C5" s="7">
        <f t="shared" si="3"/>
        <v>39581</v>
      </c>
      <c r="D5" s="7">
        <f t="shared" si="3"/>
        <v>37934</v>
      </c>
      <c r="E5" s="7">
        <f t="shared" si="3"/>
        <v>40706</v>
      </c>
      <c r="F5" s="7">
        <f t="shared" si="3"/>
        <v>39175</v>
      </c>
      <c r="G5" s="7">
        <f t="shared" si="3"/>
        <v>42688</v>
      </c>
      <c r="H5" s="7">
        <f t="shared" si="3"/>
        <v>43464</v>
      </c>
      <c r="I5" s="7">
        <f t="shared" si="3"/>
        <v>48735</v>
      </c>
      <c r="J5" s="7">
        <f t="shared" si="3"/>
        <v>46827</v>
      </c>
      <c r="K5" s="7">
        <f t="shared" si="3"/>
        <v>49235</v>
      </c>
      <c r="N5" s="1" t="s">
        <v>7</v>
      </c>
      <c r="Q5" s="7">
        <f>+Q3-Q4</f>
        <v>156633</v>
      </c>
      <c r="R5" s="7">
        <f>+R3-R4</f>
        <v>174062</v>
      </c>
      <c r="S5" s="7">
        <f t="shared" ref="S5:AI5" si="4">+S3-S4</f>
        <v>184098.42</v>
      </c>
      <c r="T5" s="7">
        <f t="shared" si="4"/>
        <v>194689.9938</v>
      </c>
      <c r="U5" s="7">
        <f t="shared" si="4"/>
        <v>205866.61240200003</v>
      </c>
      <c r="V5" s="7">
        <f t="shared" si="4"/>
        <v>221218.21648308003</v>
      </c>
      <c r="W5" s="7">
        <f t="shared" si="4"/>
        <v>237610.90110250327</v>
      </c>
      <c r="X5" s="7">
        <f t="shared" si="4"/>
        <v>255111.93046430941</v>
      </c>
      <c r="Y5" s="7">
        <f t="shared" si="4"/>
        <v>273792.79659965017</v>
      </c>
      <c r="Z5" s="7">
        <f t="shared" si="4"/>
        <v>293729.48071541067</v>
      </c>
      <c r="AA5" s="7">
        <f t="shared" si="4"/>
        <v>315002.73053090798</v>
      </c>
      <c r="AB5" s="7">
        <f t="shared" si="4"/>
        <v>337698.35457423818</v>
      </c>
      <c r="AC5" s="7">
        <f t="shared" si="4"/>
        <v>361907.53446862713</v>
      </c>
      <c r="AD5" s="7">
        <f t="shared" si="4"/>
        <v>387727.15630147688</v>
      </c>
      <c r="AE5" s="7">
        <f t="shared" si="4"/>
        <v>415260.16223488678</v>
      </c>
      <c r="AF5" s="7">
        <f t="shared" si="4"/>
        <v>444615.9235865142</v>
      </c>
      <c r="AG5" s="7">
        <f t="shared" si="4"/>
        <v>475910.63668394054</v>
      </c>
      <c r="AH5" s="7">
        <f t="shared" si="4"/>
        <v>509267.74287450191</v>
      </c>
      <c r="AI5" s="7">
        <f t="shared" si="4"/>
        <v>544818.37415607809</v>
      </c>
    </row>
    <row r="6" spans="1:55" x14ac:dyDescent="0.25">
      <c r="A6" t="s">
        <v>20</v>
      </c>
      <c r="B6" s="3">
        <v>9119</v>
      </c>
      <c r="C6" s="3">
        <v>9841</v>
      </c>
      <c r="D6" s="3">
        <v>10273</v>
      </c>
      <c r="E6" s="3">
        <v>10267</v>
      </c>
      <c r="F6" s="3">
        <v>11468</v>
      </c>
      <c r="G6" s="3">
        <v>10588</v>
      </c>
      <c r="H6" s="3">
        <v>11258</v>
      </c>
      <c r="I6" s="3">
        <v>12113</v>
      </c>
      <c r="J6" s="3">
        <v>11903</v>
      </c>
      <c r="K6" s="3">
        <v>11860</v>
      </c>
      <c r="Q6" s="3">
        <f t="shared" ref="Q6:Q8" si="5">SUM(B6:E6)</f>
        <v>39500</v>
      </c>
      <c r="R6" s="3">
        <f t="shared" ref="R6:R8" si="6">SUM(F6:I6)</f>
        <v>45427</v>
      </c>
      <c r="S6" s="3">
        <f>+R6*1.04</f>
        <v>47244.08</v>
      </c>
      <c r="T6" s="3">
        <f t="shared" ref="T6:AI6" si="7">+S6*1.04</f>
        <v>49133.843200000003</v>
      </c>
      <c r="U6" s="3">
        <f t="shared" si="7"/>
        <v>51099.196928000005</v>
      </c>
      <c r="V6" s="3">
        <f t="shared" si="7"/>
        <v>53143.16480512001</v>
      </c>
      <c r="W6" s="3">
        <f t="shared" si="7"/>
        <v>55268.891397324813</v>
      </c>
      <c r="X6" s="3">
        <f t="shared" si="7"/>
        <v>57479.647053217806</v>
      </c>
      <c r="Y6" s="3">
        <f t="shared" si="7"/>
        <v>59778.832935346523</v>
      </c>
      <c r="Z6" s="3">
        <f t="shared" si="7"/>
        <v>62169.986252760384</v>
      </c>
      <c r="AA6" s="3">
        <f t="shared" si="7"/>
        <v>64656.785702870802</v>
      </c>
      <c r="AB6" s="3">
        <f t="shared" si="7"/>
        <v>67243.057130985631</v>
      </c>
      <c r="AC6" s="3">
        <f t="shared" si="7"/>
        <v>69932.779416225065</v>
      </c>
      <c r="AD6" s="3">
        <f t="shared" si="7"/>
        <v>72730.090592874069</v>
      </c>
      <c r="AE6" s="3">
        <f t="shared" si="7"/>
        <v>75639.294216589027</v>
      </c>
      <c r="AF6" s="3">
        <f t="shared" si="7"/>
        <v>78664.865985252589</v>
      </c>
      <c r="AG6" s="3">
        <f t="shared" si="7"/>
        <v>81811.460624662694</v>
      </c>
      <c r="AH6" s="3">
        <f t="shared" si="7"/>
        <v>85083.919049649208</v>
      </c>
      <c r="AI6" s="3">
        <f t="shared" si="7"/>
        <v>88487.275811635176</v>
      </c>
    </row>
    <row r="7" spans="1:55" x14ac:dyDescent="0.25">
      <c r="A7" t="s">
        <v>21</v>
      </c>
      <c r="B7" s="3">
        <v>5825</v>
      </c>
      <c r="C7" s="3">
        <v>6630</v>
      </c>
      <c r="D7" s="3">
        <v>6929</v>
      </c>
      <c r="E7" s="3">
        <v>7183</v>
      </c>
      <c r="F7" s="3">
        <v>6533</v>
      </c>
      <c r="G7" s="3">
        <v>6781</v>
      </c>
      <c r="H7" s="3">
        <v>6884</v>
      </c>
      <c r="I7" s="3">
        <v>7719</v>
      </c>
      <c r="J7" s="3">
        <v>6426</v>
      </c>
      <c r="K7" s="3">
        <v>6792</v>
      </c>
      <c r="O7" t="s">
        <v>7</v>
      </c>
      <c r="Q7" s="3">
        <f t="shared" si="5"/>
        <v>26567</v>
      </c>
      <c r="R7" s="3">
        <f t="shared" si="6"/>
        <v>27917</v>
      </c>
      <c r="S7" s="3">
        <f t="shared" ref="S7:AI7" si="8">+R7*1.04</f>
        <v>29033.68</v>
      </c>
      <c r="T7" s="3">
        <f t="shared" si="8"/>
        <v>30195.0272</v>
      </c>
      <c r="U7" s="3">
        <f t="shared" si="8"/>
        <v>31402.828288000001</v>
      </c>
      <c r="V7" s="3">
        <f t="shared" si="8"/>
        <v>32658.941419520001</v>
      </c>
      <c r="W7" s="3">
        <f t="shared" si="8"/>
        <v>33965.299076300798</v>
      </c>
      <c r="X7" s="3">
        <f t="shared" si="8"/>
        <v>35323.911039352832</v>
      </c>
      <c r="Y7" s="3">
        <f t="shared" si="8"/>
        <v>36736.867480926943</v>
      </c>
      <c r="Z7" s="3">
        <f t="shared" si="8"/>
        <v>38206.342180164022</v>
      </c>
      <c r="AA7" s="3">
        <f t="shared" si="8"/>
        <v>39734.595867370583</v>
      </c>
      <c r="AB7" s="3">
        <f t="shared" si="8"/>
        <v>41323.979702065408</v>
      </c>
      <c r="AC7" s="3">
        <f t="shared" si="8"/>
        <v>42976.938890148027</v>
      </c>
      <c r="AD7" s="3">
        <f t="shared" si="8"/>
        <v>44696.01644575395</v>
      </c>
      <c r="AE7" s="3">
        <f t="shared" si="8"/>
        <v>46483.857103584109</v>
      </c>
      <c r="AF7" s="3">
        <f t="shared" si="8"/>
        <v>48343.211387727475</v>
      </c>
      <c r="AG7" s="3">
        <f t="shared" si="8"/>
        <v>50276.939843236578</v>
      </c>
      <c r="AH7" s="3">
        <f t="shared" si="8"/>
        <v>52288.017436966045</v>
      </c>
      <c r="AI7" s="3">
        <f t="shared" si="8"/>
        <v>54379.538134444687</v>
      </c>
    </row>
    <row r="8" spans="1:55" x14ac:dyDescent="0.25">
      <c r="A8" t="s">
        <v>22</v>
      </c>
      <c r="B8" s="3">
        <v>3374</v>
      </c>
      <c r="C8" s="3">
        <v>3357</v>
      </c>
      <c r="D8" s="3">
        <v>3597</v>
      </c>
      <c r="E8" s="3">
        <v>5096</v>
      </c>
      <c r="F8" s="3">
        <v>3759</v>
      </c>
      <c r="G8" s="3">
        <v>3481</v>
      </c>
      <c r="H8" s="3">
        <v>3979</v>
      </c>
      <c r="I8" s="3">
        <v>5206</v>
      </c>
      <c r="J8" s="3">
        <v>3026</v>
      </c>
      <c r="K8" s="3">
        <v>3158</v>
      </c>
      <c r="Q8" s="3">
        <f t="shared" si="5"/>
        <v>15424</v>
      </c>
      <c r="R8" s="3">
        <f t="shared" si="6"/>
        <v>16425</v>
      </c>
      <c r="S8" s="3">
        <f t="shared" ref="S8:AI8" si="9">+R8*1.04</f>
        <v>17082</v>
      </c>
      <c r="T8" s="3">
        <f t="shared" si="9"/>
        <v>17765.28</v>
      </c>
      <c r="U8" s="3">
        <f t="shared" si="9"/>
        <v>18475.891199999998</v>
      </c>
      <c r="V8" s="3">
        <f t="shared" si="9"/>
        <v>19214.926847999999</v>
      </c>
      <c r="W8" s="3">
        <f t="shared" si="9"/>
        <v>19983.523921920001</v>
      </c>
      <c r="X8" s="3">
        <f t="shared" si="9"/>
        <v>20782.864878796801</v>
      </c>
      <c r="Y8" s="3">
        <f t="shared" si="9"/>
        <v>21614.179473948676</v>
      </c>
      <c r="Z8" s="3">
        <f t="shared" si="9"/>
        <v>22478.746652906622</v>
      </c>
      <c r="AA8" s="3">
        <f t="shared" si="9"/>
        <v>23377.896519022888</v>
      </c>
      <c r="AB8" s="3">
        <f t="shared" si="9"/>
        <v>24313.012379783806</v>
      </c>
      <c r="AC8" s="3">
        <f t="shared" si="9"/>
        <v>25285.532874975161</v>
      </c>
      <c r="AD8" s="3">
        <f t="shared" si="9"/>
        <v>26296.954189974167</v>
      </c>
      <c r="AE8" s="3">
        <f t="shared" si="9"/>
        <v>27348.832357573134</v>
      </c>
      <c r="AF8" s="3">
        <f t="shared" si="9"/>
        <v>28442.78565187606</v>
      </c>
      <c r="AG8" s="3">
        <f t="shared" si="9"/>
        <v>29580.497077951102</v>
      </c>
      <c r="AH8" s="3">
        <f t="shared" si="9"/>
        <v>30763.716961069149</v>
      </c>
      <c r="AI8" s="3">
        <f t="shared" si="9"/>
        <v>31994.265639511916</v>
      </c>
    </row>
    <row r="9" spans="1:55" x14ac:dyDescent="0.25">
      <c r="A9" t="s">
        <v>23</v>
      </c>
      <c r="B9" s="3">
        <f t="shared" ref="B9:K9" si="10">+B6+B7+B8</f>
        <v>18318</v>
      </c>
      <c r="C9" s="3">
        <f t="shared" si="10"/>
        <v>19828</v>
      </c>
      <c r="D9" s="3">
        <f t="shared" si="10"/>
        <v>20799</v>
      </c>
      <c r="E9" s="3">
        <f t="shared" si="10"/>
        <v>22546</v>
      </c>
      <c r="F9" s="3">
        <f t="shared" si="10"/>
        <v>21760</v>
      </c>
      <c r="G9" s="3">
        <f t="shared" si="10"/>
        <v>20850</v>
      </c>
      <c r="H9" s="3">
        <f t="shared" si="10"/>
        <v>22121</v>
      </c>
      <c r="I9" s="3">
        <f t="shared" si="10"/>
        <v>25038</v>
      </c>
      <c r="J9" s="3">
        <f t="shared" si="10"/>
        <v>21355</v>
      </c>
      <c r="K9" s="3">
        <f t="shared" si="10"/>
        <v>21810</v>
      </c>
      <c r="Q9" s="3">
        <f>+Q6+Q7+Q8</f>
        <v>81491</v>
      </c>
      <c r="R9" s="3">
        <f>+R6+R7+R8</f>
        <v>89769</v>
      </c>
      <c r="S9" s="3">
        <f t="shared" ref="S9:AI9" si="11">+S6+S7+S8</f>
        <v>93359.760000000009</v>
      </c>
      <c r="T9" s="3">
        <f t="shared" si="11"/>
        <v>97094.150399999999</v>
      </c>
      <c r="U9" s="3">
        <f t="shared" si="11"/>
        <v>100977.91641600001</v>
      </c>
      <c r="V9" s="3">
        <f t="shared" si="11"/>
        <v>105017.03307264001</v>
      </c>
      <c r="W9" s="3">
        <f t="shared" si="11"/>
        <v>109217.71439554561</v>
      </c>
      <c r="X9" s="3">
        <f t="shared" si="11"/>
        <v>113586.42297136743</v>
      </c>
      <c r="Y9" s="3">
        <f t="shared" si="11"/>
        <v>118129.87989022215</v>
      </c>
      <c r="Z9" s="3">
        <f t="shared" si="11"/>
        <v>122855.07508583102</v>
      </c>
      <c r="AA9" s="3">
        <f t="shared" si="11"/>
        <v>127769.27808926428</v>
      </c>
      <c r="AB9" s="3">
        <f t="shared" si="11"/>
        <v>132880.04921283486</v>
      </c>
      <c r="AC9" s="3">
        <f t="shared" si="11"/>
        <v>138195.25118134826</v>
      </c>
      <c r="AD9" s="3">
        <f t="shared" si="11"/>
        <v>143723.06122860219</v>
      </c>
      <c r="AE9" s="3">
        <f t="shared" si="11"/>
        <v>149471.98367774626</v>
      </c>
      <c r="AF9" s="3">
        <f t="shared" si="11"/>
        <v>155450.86302485614</v>
      </c>
      <c r="AG9" s="3">
        <f t="shared" si="11"/>
        <v>161668.89754585037</v>
      </c>
      <c r="AH9" s="3">
        <f t="shared" si="11"/>
        <v>168135.6534476844</v>
      </c>
      <c r="AI9" s="3">
        <f t="shared" si="11"/>
        <v>174861.0795855918</v>
      </c>
    </row>
    <row r="10" spans="1:55" s="1" customFormat="1" x14ac:dyDescent="0.25">
      <c r="A10" s="1" t="s">
        <v>25</v>
      </c>
      <c r="B10" s="7">
        <f t="shared" ref="B10:K10" si="12">+B5-B9</f>
        <v>20094</v>
      </c>
      <c r="C10" s="7">
        <f t="shared" si="12"/>
        <v>19753</v>
      </c>
      <c r="D10" s="7">
        <f t="shared" si="12"/>
        <v>17135</v>
      </c>
      <c r="E10" s="7">
        <f t="shared" si="12"/>
        <v>18160</v>
      </c>
      <c r="F10" s="7">
        <f t="shared" si="12"/>
        <v>17415</v>
      </c>
      <c r="G10" s="7">
        <f t="shared" si="12"/>
        <v>21838</v>
      </c>
      <c r="H10" s="7">
        <f t="shared" si="12"/>
        <v>21343</v>
      </c>
      <c r="I10" s="7">
        <f t="shared" si="12"/>
        <v>23697</v>
      </c>
      <c r="J10" s="7">
        <f t="shared" si="12"/>
        <v>25472</v>
      </c>
      <c r="K10" s="7">
        <f t="shared" si="12"/>
        <v>27425</v>
      </c>
      <c r="Q10" s="7">
        <f>+Q5-Q9</f>
        <v>75142</v>
      </c>
      <c r="R10" s="7">
        <f>+R5-R9</f>
        <v>84293</v>
      </c>
      <c r="S10" s="7">
        <f t="shared" ref="S10:AI10" si="13">+S5-S9</f>
        <v>90738.66</v>
      </c>
      <c r="T10" s="7">
        <f t="shared" si="13"/>
        <v>97595.843399999998</v>
      </c>
      <c r="U10" s="7">
        <f t="shared" si="13"/>
        <v>104888.69598600002</v>
      </c>
      <c r="V10" s="7">
        <f t="shared" si="13"/>
        <v>116201.18341044002</v>
      </c>
      <c r="W10" s="7">
        <f t="shared" si="13"/>
        <v>128393.18670695765</v>
      </c>
      <c r="X10" s="7">
        <f t="shared" si="13"/>
        <v>141525.50749294198</v>
      </c>
      <c r="Y10" s="7">
        <f t="shared" si="13"/>
        <v>155662.91670942801</v>
      </c>
      <c r="Z10" s="7">
        <f t="shared" si="13"/>
        <v>170874.40562957965</v>
      </c>
      <c r="AA10" s="7">
        <f t="shared" si="13"/>
        <v>187233.45244164369</v>
      </c>
      <c r="AB10" s="7">
        <f t="shared" si="13"/>
        <v>204818.30536140333</v>
      </c>
      <c r="AC10" s="7">
        <f t="shared" si="13"/>
        <v>223712.28328727887</v>
      </c>
      <c r="AD10" s="7">
        <f t="shared" si="13"/>
        <v>244004.09507287468</v>
      </c>
      <c r="AE10" s="7">
        <f t="shared" si="13"/>
        <v>265788.17855714052</v>
      </c>
      <c r="AF10" s="7">
        <f t="shared" si="13"/>
        <v>289165.06056165806</v>
      </c>
      <c r="AG10" s="7">
        <f t="shared" si="13"/>
        <v>314241.73913809017</v>
      </c>
      <c r="AH10" s="7">
        <f t="shared" si="13"/>
        <v>341132.08942681749</v>
      </c>
      <c r="AI10" s="7">
        <f t="shared" si="13"/>
        <v>369957.29457048629</v>
      </c>
    </row>
    <row r="11" spans="1:55" x14ac:dyDescent="0.25">
      <c r="A11" t="s">
        <v>26</v>
      </c>
      <c r="B11" s="3">
        <v>-1160</v>
      </c>
      <c r="C11" s="3">
        <v>-439</v>
      </c>
      <c r="D11" s="3">
        <v>-902</v>
      </c>
      <c r="E11" s="3">
        <v>-1013</v>
      </c>
      <c r="F11" s="3">
        <v>790</v>
      </c>
      <c r="G11" s="3">
        <v>65</v>
      </c>
      <c r="H11" s="3">
        <v>-146</v>
      </c>
      <c r="I11" s="3">
        <v>715</v>
      </c>
      <c r="J11" s="3">
        <v>2843</v>
      </c>
      <c r="K11" s="3">
        <v>126</v>
      </c>
      <c r="O11" t="s">
        <v>7</v>
      </c>
      <c r="Q11" s="3">
        <f t="shared" ref="Q11:Q13" si="14">SUM(B11:E11)</f>
        <v>-3514</v>
      </c>
      <c r="R11" s="3">
        <f t="shared" ref="R11:R13" si="15">SUM(F11:I11)</f>
        <v>1424</v>
      </c>
      <c r="S11" s="3">
        <f>+R28*$N$14</f>
        <v>1295.53</v>
      </c>
      <c r="T11" s="3">
        <f>+S28*$N$14</f>
        <v>2050.2103580000003</v>
      </c>
      <c r="U11" s="3">
        <f>+T28*$N$14</f>
        <v>2867.3079988156005</v>
      </c>
      <c r="V11" s="3">
        <f>+U28*$N$14</f>
        <v>3750.9072314910882</v>
      </c>
      <c r="W11" s="3">
        <f>+V28*$N$14</f>
        <v>4734.5143747549237</v>
      </c>
      <c r="X11" s="3">
        <f>+W28*$N$14</f>
        <v>5826.1615236249672</v>
      </c>
      <c r="Y11" s="3">
        <f>+X28*$N$14</f>
        <v>7034.4452095608158</v>
      </c>
      <c r="Z11" s="3">
        <f>+Y28*$N$14</f>
        <v>8368.5635772965252</v>
      </c>
      <c r="AA11" s="3">
        <f>+Z28*$N$14</f>
        <v>9838.3559247929097</v>
      </c>
      <c r="AB11" s="3">
        <f>+AA28*$N$14</f>
        <v>11454.344753397689</v>
      </c>
      <c r="AC11" s="3">
        <f>+AB28*$N$14</f>
        <v>13227.780484339057</v>
      </c>
      <c r="AD11" s="3">
        <f>+AC28*$N$14</f>
        <v>15170.689007266325</v>
      </c>
      <c r="AE11" s="3">
        <f>+AD28*$N$14</f>
        <v>17295.92223672348</v>
      </c>
      <c r="AF11" s="3">
        <f>+AE28*$N$14</f>
        <v>19617.211863233166</v>
      </c>
      <c r="AG11" s="3">
        <f>+AF28*$N$14</f>
        <v>22149.226497117274</v>
      </c>
      <c r="AH11" s="3">
        <f>+AG28*$N$14</f>
        <v>24907.632415325974</v>
      </c>
      <c r="AI11" s="3">
        <f>+AH28*$N$14</f>
        <v>27909.158134431549</v>
      </c>
    </row>
    <row r="12" spans="1:55" x14ac:dyDescent="0.25">
      <c r="A12" t="s">
        <v>27</v>
      </c>
      <c r="B12" s="3">
        <v>19014</v>
      </c>
      <c r="C12" s="3">
        <v>19014</v>
      </c>
      <c r="D12" s="3">
        <f t="shared" ref="D12:K12" si="16">+D10+D11</f>
        <v>16233</v>
      </c>
      <c r="E12" s="3">
        <f t="shared" si="16"/>
        <v>17147</v>
      </c>
      <c r="F12" s="3">
        <f t="shared" si="16"/>
        <v>18205</v>
      </c>
      <c r="G12" s="3">
        <f t="shared" si="16"/>
        <v>21903</v>
      </c>
      <c r="H12" s="3">
        <f t="shared" si="16"/>
        <v>21197</v>
      </c>
      <c r="I12" s="3">
        <f t="shared" si="16"/>
        <v>24412</v>
      </c>
      <c r="J12" s="3">
        <f t="shared" si="16"/>
        <v>28315</v>
      </c>
      <c r="K12" s="3">
        <f t="shared" si="16"/>
        <v>27551</v>
      </c>
      <c r="Q12" s="3">
        <f>+Q10+Q11</f>
        <v>71628</v>
      </c>
      <c r="R12" s="3">
        <f>+R10+R11</f>
        <v>85717</v>
      </c>
      <c r="S12" s="3">
        <f>+S10+S11</f>
        <v>92034.19</v>
      </c>
      <c r="T12" s="3">
        <f t="shared" ref="T12:AI12" si="17">+T10+T11</f>
        <v>99646.053757999995</v>
      </c>
      <c r="U12" s="3">
        <f t="shared" si="17"/>
        <v>107756.00398481562</v>
      </c>
      <c r="V12" s="3">
        <f t="shared" si="17"/>
        <v>119952.09064193111</v>
      </c>
      <c r="W12" s="3">
        <f t="shared" si="17"/>
        <v>133127.70108171258</v>
      </c>
      <c r="X12" s="3">
        <f t="shared" si="17"/>
        <v>147351.66901656694</v>
      </c>
      <c r="Y12" s="3">
        <f t="shared" si="17"/>
        <v>162697.36191898884</v>
      </c>
      <c r="Z12" s="3">
        <f t="shared" si="17"/>
        <v>179242.96920687618</v>
      </c>
      <c r="AA12" s="3">
        <f t="shared" si="17"/>
        <v>197071.8083664366</v>
      </c>
      <c r="AB12" s="3">
        <f t="shared" si="17"/>
        <v>216272.65011480101</v>
      </c>
      <c r="AC12" s="3">
        <f t="shared" si="17"/>
        <v>236940.06377161792</v>
      </c>
      <c r="AD12" s="3">
        <f t="shared" si="17"/>
        <v>259174.78408014102</v>
      </c>
      <c r="AE12" s="3">
        <f t="shared" si="17"/>
        <v>283084.100793864</v>
      </c>
      <c r="AF12" s="3">
        <f t="shared" si="17"/>
        <v>308782.27242489124</v>
      </c>
      <c r="AG12" s="3">
        <f t="shared" si="17"/>
        <v>336390.96563520742</v>
      </c>
      <c r="AH12" s="3">
        <f t="shared" si="17"/>
        <v>366039.72184214345</v>
      </c>
      <c r="AI12" s="3">
        <f t="shared" si="17"/>
        <v>397866.45270491787</v>
      </c>
    </row>
    <row r="13" spans="1:55" x14ac:dyDescent="0.25">
      <c r="A13" t="s">
        <v>28</v>
      </c>
      <c r="B13" s="3">
        <v>2498</v>
      </c>
      <c r="C13" s="3">
        <v>3012</v>
      </c>
      <c r="D13" s="3">
        <v>2323</v>
      </c>
      <c r="E13" s="3">
        <v>3523</v>
      </c>
      <c r="F13" s="3">
        <v>3154</v>
      </c>
      <c r="G13" s="3">
        <v>3535</v>
      </c>
      <c r="H13" s="3">
        <v>1508</v>
      </c>
      <c r="I13" s="3">
        <v>3725</v>
      </c>
      <c r="J13" s="3">
        <v>4653</v>
      </c>
      <c r="K13" s="3">
        <v>3932</v>
      </c>
      <c r="M13" t="s">
        <v>50</v>
      </c>
      <c r="N13" s="4">
        <v>0.01</v>
      </c>
      <c r="O13" t="s">
        <v>7</v>
      </c>
      <c r="Q13" s="3">
        <f t="shared" si="14"/>
        <v>11356</v>
      </c>
      <c r="R13" s="3">
        <f t="shared" si="15"/>
        <v>11922</v>
      </c>
      <c r="S13" s="3">
        <f>+S12*0.18</f>
        <v>16566.154200000001</v>
      </c>
      <c r="T13" s="3">
        <f t="shared" ref="T13:AI13" si="18">+T12*0.18</f>
        <v>17936.289676439999</v>
      </c>
      <c r="U13" s="3">
        <f t="shared" si="18"/>
        <v>19396.08071726681</v>
      </c>
      <c r="V13" s="3">
        <f t="shared" si="18"/>
        <v>21591.376315547597</v>
      </c>
      <c r="W13" s="3">
        <f t="shared" si="18"/>
        <v>23962.986194708265</v>
      </c>
      <c r="X13" s="3">
        <f t="shared" si="18"/>
        <v>26523.300422982047</v>
      </c>
      <c r="Y13" s="3">
        <f t="shared" si="18"/>
        <v>29285.525145417989</v>
      </c>
      <c r="Z13" s="3">
        <f t="shared" si="18"/>
        <v>32263.734457237711</v>
      </c>
      <c r="AA13" s="3">
        <f t="shared" si="18"/>
        <v>35472.925505958585</v>
      </c>
      <c r="AB13" s="3">
        <f t="shared" si="18"/>
        <v>38929.077020664183</v>
      </c>
      <c r="AC13" s="3">
        <f t="shared" si="18"/>
        <v>42649.211478891222</v>
      </c>
      <c r="AD13" s="3">
        <f t="shared" si="18"/>
        <v>46651.461134425379</v>
      </c>
      <c r="AE13" s="3">
        <f t="shared" si="18"/>
        <v>50955.138142895521</v>
      </c>
      <c r="AF13" s="3">
        <f t="shared" si="18"/>
        <v>55580.809036480423</v>
      </c>
      <c r="AG13" s="3">
        <f t="shared" si="18"/>
        <v>60550.373814337334</v>
      </c>
      <c r="AH13" s="3">
        <f t="shared" si="18"/>
        <v>65887.149931585824</v>
      </c>
      <c r="AI13" s="3">
        <f t="shared" si="18"/>
        <v>71615.961486885208</v>
      </c>
    </row>
    <row r="14" spans="1:55" s="1" customFormat="1" x14ac:dyDescent="0.25">
      <c r="A14" s="1" t="s">
        <v>29</v>
      </c>
      <c r="B14" s="7">
        <f t="shared" ref="B14:K14" si="19">+B12-B13</f>
        <v>16516</v>
      </c>
      <c r="C14" s="7">
        <f t="shared" si="19"/>
        <v>16002</v>
      </c>
      <c r="D14" s="7">
        <f t="shared" si="19"/>
        <v>13910</v>
      </c>
      <c r="E14" s="7">
        <f t="shared" si="19"/>
        <v>13624</v>
      </c>
      <c r="F14" s="7">
        <f t="shared" si="19"/>
        <v>15051</v>
      </c>
      <c r="G14" s="7">
        <f t="shared" si="19"/>
        <v>18368</v>
      </c>
      <c r="H14" s="7">
        <f t="shared" si="19"/>
        <v>19689</v>
      </c>
      <c r="I14" s="7">
        <f t="shared" si="19"/>
        <v>20687</v>
      </c>
      <c r="J14" s="7">
        <f t="shared" si="19"/>
        <v>23662</v>
      </c>
      <c r="K14" s="7">
        <f t="shared" si="19"/>
        <v>23619</v>
      </c>
      <c r="M14" t="s">
        <v>40</v>
      </c>
      <c r="N14" s="4">
        <v>0.01</v>
      </c>
      <c r="Q14" s="7">
        <f>+Q12-Q13</f>
        <v>60272</v>
      </c>
      <c r="R14" s="7">
        <f>+R12-R13</f>
        <v>73795</v>
      </c>
      <c r="S14" s="7">
        <f t="shared" ref="S14:AI14" si="20">+S12-S13</f>
        <v>75468.035799999998</v>
      </c>
      <c r="T14" s="7">
        <f t="shared" si="20"/>
        <v>81709.764081559988</v>
      </c>
      <c r="U14" s="7">
        <f t="shared" si="20"/>
        <v>88359.923267548802</v>
      </c>
      <c r="V14" s="7">
        <f t="shared" si="20"/>
        <v>98360.714326383517</v>
      </c>
      <c r="W14" s="7">
        <f t="shared" si="20"/>
        <v>109164.71488700432</v>
      </c>
      <c r="X14" s="7">
        <f t="shared" si="20"/>
        <v>120828.36859358489</v>
      </c>
      <c r="Y14" s="7">
        <f t="shared" si="20"/>
        <v>133411.83677357086</v>
      </c>
      <c r="Z14" s="7">
        <f t="shared" si="20"/>
        <v>146979.23474963848</v>
      </c>
      <c r="AA14" s="7">
        <f t="shared" si="20"/>
        <v>161598.88286047801</v>
      </c>
      <c r="AB14" s="7">
        <f t="shared" si="20"/>
        <v>177343.57309413684</v>
      </c>
      <c r="AC14" s="7">
        <f t="shared" si="20"/>
        <v>194290.85229272669</v>
      </c>
      <c r="AD14" s="7">
        <f t="shared" si="20"/>
        <v>212523.32294571563</v>
      </c>
      <c r="AE14" s="7">
        <f t="shared" si="20"/>
        <v>232128.96265096846</v>
      </c>
      <c r="AF14" s="7">
        <f t="shared" si="20"/>
        <v>253201.4633884108</v>
      </c>
      <c r="AG14" s="7">
        <f t="shared" si="20"/>
        <v>275840.59182087006</v>
      </c>
      <c r="AH14" s="7">
        <f t="shared" si="20"/>
        <v>300152.57191055763</v>
      </c>
      <c r="AI14" s="7">
        <f t="shared" si="20"/>
        <v>326250.49121803266</v>
      </c>
      <c r="AJ14" s="1">
        <f>+AI14*(1-$N$13)</f>
        <v>322987.98630585236</v>
      </c>
      <c r="AK14" s="1">
        <f>+AJ14*(1-$N$13)</f>
        <v>319758.10644279385</v>
      </c>
      <c r="AL14" s="1">
        <f>+AK14*(1-$N$13)</f>
        <v>316560.52537836588</v>
      </c>
      <c r="AM14" s="1">
        <f>+AL14*(1-$N$13)</f>
        <v>313394.92012458225</v>
      </c>
      <c r="AN14" s="1">
        <f>+AM14*(1-$N$13)</f>
        <v>310260.9709233364</v>
      </c>
      <c r="AO14" s="1">
        <f>+AN14*(1-$N$13)</f>
        <v>307158.361214103</v>
      </c>
      <c r="AP14" s="1">
        <f>+AO14*(1-$N$13)</f>
        <v>304086.77760196198</v>
      </c>
      <c r="AQ14" s="1">
        <f>+AP14*(1-$N$13)</f>
        <v>301045.90982594236</v>
      </c>
      <c r="AR14" s="1">
        <f>+AQ14*(1-$N$13)</f>
        <v>298035.45072768291</v>
      </c>
      <c r="AS14" s="1">
        <f>+AR14*(1-$N$13)</f>
        <v>295055.09622040606</v>
      </c>
      <c r="AT14" s="1">
        <f>+AS14*(1-$N$13)</f>
        <v>292104.54525820201</v>
      </c>
      <c r="AU14" s="1">
        <f>+AT14*(1-$N$13)</f>
        <v>289183.49980562</v>
      </c>
      <c r="AV14" s="1">
        <f>+AU14*(1-$N$13)</f>
        <v>286291.66480756382</v>
      </c>
      <c r="AW14" s="1">
        <f>+AV14*(1-$N$13)</f>
        <v>283428.7481594882</v>
      </c>
      <c r="AX14" s="1">
        <f>+AW14*(1-$N$13)</f>
        <v>280594.46067789331</v>
      </c>
      <c r="AY14" s="1">
        <f>+AX14*(1-$N$13)</f>
        <v>277788.5160711144</v>
      </c>
      <c r="AZ14" s="1">
        <f>+AY14*(1-$N$13)</f>
        <v>275010.63091040327</v>
      </c>
      <c r="BA14" s="1">
        <f>+AZ14*(1-$N$13)</f>
        <v>272260.52460129926</v>
      </c>
      <c r="BB14" s="1">
        <f>+BA14*(1-$N$13)</f>
        <v>269537.91935528629</v>
      </c>
      <c r="BC14" s="1">
        <f>+BB14*(1-$N$13)</f>
        <v>266842.5401617334</v>
      </c>
    </row>
    <row r="15" spans="1:55" x14ac:dyDescent="0.25">
      <c r="A15" t="s">
        <v>30</v>
      </c>
      <c r="B15" s="9">
        <f t="shared" ref="B15:K15" si="21">+B14/B16</f>
        <v>1.2509278194349769</v>
      </c>
      <c r="C15" s="9">
        <f t="shared" si="21"/>
        <v>1.2184573212518084</v>
      </c>
      <c r="D15" s="9">
        <f t="shared" si="21"/>
        <v>1.0685205100629898</v>
      </c>
      <c r="E15" s="9">
        <f t="shared" si="21"/>
        <v>1.0563696983794681</v>
      </c>
      <c r="F15" s="9">
        <f t="shared" si="21"/>
        <v>1.1713752042960541</v>
      </c>
      <c r="G15" s="9">
        <f t="shared" si="21"/>
        <v>1.4544302795154012</v>
      </c>
      <c r="H15" s="9">
        <f t="shared" si="21"/>
        <v>1.5649789364915347</v>
      </c>
      <c r="I15" s="9">
        <f t="shared" si="21"/>
        <v>1.6565502882767458</v>
      </c>
      <c r="J15" s="9">
        <f t="shared" si="21"/>
        <v>1.8678560151562993</v>
      </c>
      <c r="K15" s="9">
        <f t="shared" si="21"/>
        <v>1.9135542412703557</v>
      </c>
      <c r="M15" t="s">
        <v>41</v>
      </c>
      <c r="N15" s="4">
        <v>-0.06</v>
      </c>
      <c r="O15" t="s">
        <v>7</v>
      </c>
      <c r="P15" t="s">
        <v>7</v>
      </c>
      <c r="Q15" s="9">
        <f>+Q14/Q16</f>
        <v>4.6140360950029669</v>
      </c>
      <c r="R15" s="9">
        <f>+R14/R16</f>
        <v>5.8397135339387107</v>
      </c>
      <c r="S15" s="9">
        <f t="shared" ref="S15:AI15" si="22">+S14/S16</f>
        <v>5.9721080024531625</v>
      </c>
      <c r="T15" s="9">
        <f t="shared" si="22"/>
        <v>6.4660426202591639</v>
      </c>
      <c r="U15" s="9">
        <f t="shared" si="22"/>
        <v>6.9922981199714167</v>
      </c>
      <c r="V15" s="9">
        <f t="shared" si="22"/>
        <v>7.7837034305801343</v>
      </c>
      <c r="W15" s="9">
        <f t="shared" si="22"/>
        <v>8.6386701396327634</v>
      </c>
      <c r="X15" s="9">
        <f t="shared" si="22"/>
        <v>9.5616648737677714</v>
      </c>
      <c r="Y15" s="9">
        <f t="shared" si="22"/>
        <v>10.557448455779442</v>
      </c>
      <c r="Z15" s="9">
        <f t="shared" si="22"/>
        <v>11.631094604992461</v>
      </c>
      <c r="AA15" s="9">
        <f t="shared" si="22"/>
        <v>12.788009801608643</v>
      </c>
      <c r="AB15" s="9">
        <f t="shared" si="22"/>
        <v>14.033954386542176</v>
      </c>
      <c r="AC15" s="9">
        <f t="shared" si="22"/>
        <v>15.375064972617697</v>
      </c>
      <c r="AD15" s="9">
        <f t="shared" si="22"/>
        <v>16.817878247628197</v>
      </c>
      <c r="AE15" s="9">
        <f t="shared" si="22"/>
        <v>18.369356254651589</v>
      </c>
      <c r="AF15" s="9">
        <f t="shared" si="22"/>
        <v>20.036913240224806</v>
      </c>
      <c r="AG15" s="9">
        <f t="shared" si="22"/>
        <v>21.828444166488225</v>
      </c>
      <c r="AH15" s="9">
        <f t="shared" si="22"/>
        <v>23.752354989262084</v>
      </c>
      <c r="AI15" s="9">
        <f t="shared" si="22"/>
        <v>25.817594810218818</v>
      </c>
      <c r="AJ15" t="s">
        <v>7</v>
      </c>
    </row>
    <row r="16" spans="1:55" x14ac:dyDescent="0.25">
      <c r="A16" t="s">
        <v>2</v>
      </c>
      <c r="B16" s="3">
        <v>13203</v>
      </c>
      <c r="C16" s="3">
        <v>13133</v>
      </c>
      <c r="D16" s="3">
        <v>13018</v>
      </c>
      <c r="E16" s="3">
        <v>12897</v>
      </c>
      <c r="F16" s="3">
        <v>12849</v>
      </c>
      <c r="G16" s="3">
        <v>12629</v>
      </c>
      <c r="H16" s="3">
        <v>12581</v>
      </c>
      <c r="I16" s="3">
        <v>12488</v>
      </c>
      <c r="J16" s="3">
        <v>12668</v>
      </c>
      <c r="K16" s="3">
        <v>12343</v>
      </c>
      <c r="L16" t="s">
        <v>7</v>
      </c>
      <c r="M16" t="s">
        <v>42</v>
      </c>
      <c r="N16" s="4">
        <v>7.0000000000000007E-2</v>
      </c>
      <c r="Q16" s="3">
        <f>AVERAGE(B16:E16)</f>
        <v>13062.75</v>
      </c>
      <c r="R16" s="3">
        <f>AVERAGE(F16:I16)</f>
        <v>12636.75</v>
      </c>
      <c r="S16" s="3">
        <f>+R16</f>
        <v>12636.75</v>
      </c>
      <c r="T16" s="3">
        <f t="shared" ref="T16:AI16" si="23">+S16</f>
        <v>12636.75</v>
      </c>
      <c r="U16" s="3">
        <f t="shared" si="23"/>
        <v>12636.75</v>
      </c>
      <c r="V16" s="3">
        <f t="shared" si="23"/>
        <v>12636.75</v>
      </c>
      <c r="W16" s="3">
        <f t="shared" si="23"/>
        <v>12636.75</v>
      </c>
      <c r="X16" s="3">
        <f t="shared" si="23"/>
        <v>12636.75</v>
      </c>
      <c r="Y16" s="3">
        <f t="shared" si="23"/>
        <v>12636.75</v>
      </c>
      <c r="Z16" s="3">
        <f t="shared" si="23"/>
        <v>12636.75</v>
      </c>
      <c r="AA16" s="3">
        <f t="shared" si="23"/>
        <v>12636.75</v>
      </c>
      <c r="AB16" s="3">
        <f t="shared" si="23"/>
        <v>12636.75</v>
      </c>
      <c r="AC16" s="3">
        <f t="shared" si="23"/>
        <v>12636.75</v>
      </c>
      <c r="AD16" s="3">
        <f t="shared" si="23"/>
        <v>12636.75</v>
      </c>
      <c r="AE16" s="3">
        <f t="shared" si="23"/>
        <v>12636.75</v>
      </c>
      <c r="AF16" s="3">
        <f t="shared" si="23"/>
        <v>12636.75</v>
      </c>
      <c r="AG16" s="3">
        <f t="shared" si="23"/>
        <v>12636.75</v>
      </c>
      <c r="AH16" s="3">
        <f t="shared" si="23"/>
        <v>12636.75</v>
      </c>
      <c r="AI16" s="3">
        <f t="shared" si="23"/>
        <v>12636.75</v>
      </c>
    </row>
    <row r="17" spans="1:35" x14ac:dyDescent="0.25">
      <c r="I17" t="s">
        <v>7</v>
      </c>
      <c r="J17" t="s">
        <v>7</v>
      </c>
      <c r="M17" t="s">
        <v>43</v>
      </c>
      <c r="N17" s="6">
        <f>NPV(N16,S14:BC14)</f>
        <v>2488185.7843100382</v>
      </c>
    </row>
    <row r="18" spans="1:35" x14ac:dyDescent="0.25">
      <c r="A18" t="s">
        <v>32</v>
      </c>
      <c r="F18" s="4">
        <f>+F3/B3-1</f>
        <v>2.6113422828660138E-2</v>
      </c>
      <c r="G18" s="4">
        <f t="shared" ref="G18:K18" si="24">+G3/C3-1</f>
        <v>7.0589079428858392E-2</v>
      </c>
      <c r="H18" s="4">
        <f t="shared" si="24"/>
        <v>0.11001273664100042</v>
      </c>
      <c r="I18" s="4">
        <f t="shared" si="24"/>
        <v>0.13494108983799702</v>
      </c>
      <c r="J18" s="4">
        <f t="shared" si="24"/>
        <v>0.15406880937710454</v>
      </c>
      <c r="K18" s="4">
        <f t="shared" si="24"/>
        <v>0.13589083695244231</v>
      </c>
      <c r="M18" t="s">
        <v>45</v>
      </c>
      <c r="N18" s="7">
        <f>+N17+main!L5-main!L6</f>
        <v>2616856.7843100382</v>
      </c>
      <c r="R18" s="4">
        <f>+R5/Q5-1</f>
        <v>0.11127284799499471</v>
      </c>
      <c r="S18" s="4">
        <f t="shared" ref="S18:AI18" si="25">+S5/R5-1</f>
        <v>5.7660029185003125E-2</v>
      </c>
      <c r="T18" s="4">
        <f t="shared" si="25"/>
        <v>5.7532127652154763E-2</v>
      </c>
      <c r="U18" s="4">
        <f t="shared" si="25"/>
        <v>5.740725747560238E-2</v>
      </c>
      <c r="V18" s="4">
        <f t="shared" si="25"/>
        <v>7.4570635334993529E-2</v>
      </c>
      <c r="W18" s="4">
        <f t="shared" si="25"/>
        <v>7.4101874972294812E-2</v>
      </c>
      <c r="X18" s="4">
        <f t="shared" si="25"/>
        <v>7.3654151727055472E-2</v>
      </c>
      <c r="Y18" s="4">
        <f t="shared" si="25"/>
        <v>7.3226156461366543E-2</v>
      </c>
      <c r="Z18" s="4">
        <f t="shared" si="25"/>
        <v>7.2816686061002001E-2</v>
      </c>
      <c r="AA18" s="4">
        <f t="shared" si="25"/>
        <v>7.2424632909451114E-2</v>
      </c>
      <c r="AB18" s="4">
        <f t="shared" si="25"/>
        <v>7.204897559166823E-2</v>
      </c>
      <c r="AC18" s="4">
        <f t="shared" si="25"/>
        <v>7.1688770663130175E-2</v>
      </c>
      <c r="AD18" s="4">
        <f t="shared" si="25"/>
        <v>7.1343145344458181E-2</v>
      </c>
      <c r="AE18" s="4">
        <f t="shared" si="25"/>
        <v>7.1011291022395229E-2</v>
      </c>
      <c r="AF18" s="4">
        <f t="shared" si="25"/>
        <v>7.0692457455195701E-2</v>
      </c>
      <c r="AG18" s="4">
        <f t="shared" si="25"/>
        <v>7.0385947594917786E-2</v>
      </c>
      <c r="AH18" s="4">
        <f t="shared" si="25"/>
        <v>7.0091112951346624E-2</v>
      </c>
      <c r="AI18" s="4">
        <f t="shared" si="25"/>
        <v>6.9807349432569277E-2</v>
      </c>
    </row>
    <row r="19" spans="1:35" s="1" customFormat="1" x14ac:dyDescent="0.25">
      <c r="A19" s="1" t="s">
        <v>39</v>
      </c>
      <c r="F19" s="5">
        <f t="shared" ref="F19:J19" si="26">+F14/B14-1</f>
        <v>-8.8701864858319213E-2</v>
      </c>
      <c r="G19" s="5">
        <f t="shared" si="26"/>
        <v>0.147856517935258</v>
      </c>
      <c r="H19" s="5">
        <f t="shared" si="26"/>
        <v>0.41545650611071161</v>
      </c>
      <c r="I19" s="5">
        <f t="shared" si="26"/>
        <v>0.51842337052260712</v>
      </c>
      <c r="J19" s="5">
        <f t="shared" si="26"/>
        <v>0.57212145372400514</v>
      </c>
      <c r="K19" s="5">
        <f>+K14/G14-1</f>
        <v>0.28587761324041816</v>
      </c>
      <c r="M19" t="s">
        <v>46</v>
      </c>
      <c r="N19" s="8">
        <f>+N18/main!L3</f>
        <v>212.57975502112416</v>
      </c>
      <c r="R19" s="5">
        <f>+R14/Q14-1</f>
        <v>0.22436620653039552</v>
      </c>
      <c r="S19" s="5">
        <f t="shared" ref="S19:AI19" si="27">+S14/R14-1</f>
        <v>2.2671397791178327E-2</v>
      </c>
      <c r="T19" s="5">
        <f t="shared" si="27"/>
        <v>8.2706913137389426E-2</v>
      </c>
      <c r="U19" s="5">
        <f t="shared" si="27"/>
        <v>8.1387570515450758E-2</v>
      </c>
      <c r="V19" s="5">
        <f t="shared" si="27"/>
        <v>0.1131824325894093</v>
      </c>
      <c r="W19" s="5">
        <f t="shared" si="27"/>
        <v>0.10984060693958186</v>
      </c>
      <c r="X19" s="5">
        <f t="shared" si="27"/>
        <v>0.10684453963584795</v>
      </c>
      <c r="Y19" s="5">
        <f t="shared" si="27"/>
        <v>0.10414332599582954</v>
      </c>
      <c r="Z19" s="5">
        <f t="shared" si="27"/>
        <v>0.10169560890683527</v>
      </c>
      <c r="AA19" s="5">
        <f t="shared" si="27"/>
        <v>9.9467439300132243E-2</v>
      </c>
      <c r="AB19" s="5">
        <f t="shared" si="27"/>
        <v>9.7430687359717272E-2</v>
      </c>
      <c r="AC19" s="5">
        <f t="shared" si="27"/>
        <v>9.5561845873004758E-2</v>
      </c>
      <c r="AD19" s="5">
        <f t="shared" si="27"/>
        <v>9.3841117262274176E-2</v>
      </c>
      <c r="AE19" s="5">
        <f t="shared" si="27"/>
        <v>9.2251708817204348E-2</v>
      </c>
      <c r="AF19" s="5">
        <f t="shared" si="27"/>
        <v>9.0779282760709012E-2</v>
      </c>
      <c r="AG19" s="5">
        <f t="shared" si="27"/>
        <v>8.9411522862057335E-2</v>
      </c>
      <c r="AH19" s="5">
        <f t="shared" si="27"/>
        <v>8.8137789761833396E-2</v>
      </c>
      <c r="AI19" s="5">
        <f t="shared" si="27"/>
        <v>8.6948844520485791E-2</v>
      </c>
    </row>
    <row r="20" spans="1:35" x14ac:dyDescent="0.25">
      <c r="M20" t="s">
        <v>47</v>
      </c>
      <c r="N20" s="4">
        <f>+N19/main!L2-1</f>
        <v>0.29621801842148887</v>
      </c>
    </row>
    <row r="21" spans="1:35" x14ac:dyDescent="0.25">
      <c r="A21" t="s">
        <v>33</v>
      </c>
      <c r="B21" s="4">
        <f t="shared" ref="B21:E21" si="28">+B5/B3</f>
        <v>0.5647909896928438</v>
      </c>
      <c r="C21" s="4">
        <f t="shared" si="28"/>
        <v>0.56799885197675248</v>
      </c>
      <c r="D21" s="4">
        <f t="shared" si="28"/>
        <v>0.54903606785156023</v>
      </c>
      <c r="E21" s="4">
        <f t="shared" si="28"/>
        <v>0.53526719966337055</v>
      </c>
      <c r="F21" s="4">
        <f>+F5/F3</f>
        <v>0.56135096794531936</v>
      </c>
      <c r="G21" s="4">
        <f t="shared" ref="G21:K21" si="29">+G5/G3</f>
        <v>0.5721945204010509</v>
      </c>
      <c r="H21" s="4">
        <f t="shared" si="29"/>
        <v>0.56672708069836886</v>
      </c>
      <c r="I21" s="4">
        <f t="shared" si="29"/>
        <v>0.56465067778936395</v>
      </c>
      <c r="J21" s="4">
        <f t="shared" si="29"/>
        <v>0.58142018152696207</v>
      </c>
      <c r="K21" s="4">
        <f t="shared" si="29"/>
        <v>0.58099879634655782</v>
      </c>
      <c r="Q21" s="4">
        <f t="shared" ref="Q21:R21" si="30">+Q5/Q3</f>
        <v>0.55379442503783116</v>
      </c>
      <c r="R21" s="4">
        <f t="shared" si="30"/>
        <v>0.56625047984020505</v>
      </c>
      <c r="S21" s="4">
        <f t="shared" ref="S21:AI21" si="31">+S5/S3</f>
        <v>0.57038142765125077</v>
      </c>
      <c r="T21" s="4">
        <f t="shared" si="31"/>
        <v>0.57447303310219122</v>
      </c>
      <c r="U21" s="4">
        <f t="shared" si="31"/>
        <v>0.57852567088217033</v>
      </c>
      <c r="V21" s="4">
        <f t="shared" si="31"/>
        <v>0.58647801671458222</v>
      </c>
      <c r="W21" s="4">
        <f t="shared" si="31"/>
        <v>0.59428031828600525</v>
      </c>
      <c r="X21" s="4">
        <f t="shared" si="31"/>
        <v>0.60193540662023159</v>
      </c>
      <c r="Y21" s="4">
        <f t="shared" si="31"/>
        <v>0.60944605932551033</v>
      </c>
      <c r="Z21" s="4">
        <f t="shared" si="31"/>
        <v>0.61681500160238745</v>
      </c>
      <c r="AA21" s="4">
        <f t="shared" si="31"/>
        <v>0.62404490723253092</v>
      </c>
      <c r="AB21" s="4">
        <f t="shared" si="31"/>
        <v>0.63113839954889839</v>
      </c>
      <c r="AC21" s="4">
        <f t="shared" si="31"/>
        <v>0.63809805238759842</v>
      </c>
      <c r="AD21" s="4">
        <f t="shared" si="31"/>
        <v>0.64492639102179472</v>
      </c>
      <c r="AE21" s="4">
        <f t="shared" si="31"/>
        <v>0.65162589307798724</v>
      </c>
      <c r="AF21" s="4">
        <f t="shared" si="31"/>
        <v>0.65819898943500643</v>
      </c>
      <c r="AG21" s="4">
        <f t="shared" si="31"/>
        <v>0.66464806510604391</v>
      </c>
      <c r="AH21" s="4">
        <f t="shared" si="31"/>
        <v>0.67097546010404308</v>
      </c>
      <c r="AI21" s="4">
        <f t="shared" si="31"/>
        <v>0.67718347029075932</v>
      </c>
    </row>
    <row r="22" spans="1:35" x14ac:dyDescent="0.25">
      <c r="A22" t="s">
        <v>34</v>
      </c>
      <c r="B22" s="4">
        <f t="shared" ref="B22:E22" si="32">+B6/B4</f>
        <v>0.30808473259231733</v>
      </c>
      <c r="C22" s="4">
        <f t="shared" si="32"/>
        <v>0.32690007972362478</v>
      </c>
      <c r="D22" s="4">
        <f t="shared" si="32"/>
        <v>0.3297066563964311</v>
      </c>
      <c r="E22" s="4">
        <f t="shared" si="32"/>
        <v>0.29050421594703185</v>
      </c>
      <c r="F22" s="4">
        <f>+F6/F4</f>
        <v>0.37462433032797593</v>
      </c>
      <c r="G22" s="4">
        <f t="shared" ref="G22:K24" si="33">+G6/G4</f>
        <v>0.33174583281112924</v>
      </c>
      <c r="H22" s="4">
        <f t="shared" si="33"/>
        <v>0.33880044539408349</v>
      </c>
      <c r="I22" s="4">
        <f t="shared" si="33"/>
        <v>0.32236859614105123</v>
      </c>
      <c r="J22" s="4">
        <f t="shared" si="33"/>
        <v>0.35307902230659705</v>
      </c>
      <c r="K22" s="4">
        <f t="shared" si="33"/>
        <v>0.33401864421100064</v>
      </c>
      <c r="Q22" s="4">
        <f t="shared" ref="Q22:R22" si="34">+Q6/Q4</f>
        <v>0.3129878053612038</v>
      </c>
      <c r="R22" s="4">
        <f t="shared" si="34"/>
        <v>0.34070590705907061</v>
      </c>
      <c r="S22" s="4">
        <f t="shared" ref="S22:AI22" si="35">+S6/S4</f>
        <v>0.34070590705907061</v>
      </c>
      <c r="T22" s="4">
        <f t="shared" si="35"/>
        <v>0.34070590705907056</v>
      </c>
      <c r="U22" s="4">
        <f t="shared" si="35"/>
        <v>0.34070590705907061</v>
      </c>
      <c r="V22" s="4">
        <f t="shared" si="35"/>
        <v>0.34070590705907061</v>
      </c>
      <c r="W22" s="4">
        <f t="shared" si="35"/>
        <v>0.34070590705907061</v>
      </c>
      <c r="X22" s="4">
        <f t="shared" si="35"/>
        <v>0.34070590705907067</v>
      </c>
      <c r="Y22" s="4">
        <f t="shared" si="35"/>
        <v>0.34070590705907067</v>
      </c>
      <c r="Z22" s="4">
        <f t="shared" si="35"/>
        <v>0.34070590705907067</v>
      </c>
      <c r="AA22" s="4">
        <f t="shared" si="35"/>
        <v>0.34070590705907067</v>
      </c>
      <c r="AB22" s="4">
        <f t="shared" si="35"/>
        <v>0.34070590705907061</v>
      </c>
      <c r="AC22" s="4">
        <f t="shared" si="35"/>
        <v>0.34070590705907067</v>
      </c>
      <c r="AD22" s="4">
        <f t="shared" si="35"/>
        <v>0.34070590705907067</v>
      </c>
      <c r="AE22" s="4">
        <f t="shared" si="35"/>
        <v>0.34070590705907061</v>
      </c>
      <c r="AF22" s="4">
        <f t="shared" si="35"/>
        <v>0.34070590705907061</v>
      </c>
      <c r="AG22" s="4">
        <f t="shared" si="35"/>
        <v>0.34070590705907056</v>
      </c>
      <c r="AH22" s="4">
        <f t="shared" si="35"/>
        <v>0.34070590705907061</v>
      </c>
      <c r="AI22" s="4">
        <f t="shared" si="35"/>
        <v>0.34070590705907056</v>
      </c>
    </row>
    <row r="23" spans="1:35" x14ac:dyDescent="0.25">
      <c r="A23" t="s">
        <v>35</v>
      </c>
      <c r="B23" s="4">
        <f t="shared" ref="B23:E23" si="36">+B7/B5</f>
        <v>0.15164531917109236</v>
      </c>
      <c r="C23" s="4">
        <f t="shared" si="36"/>
        <v>0.16750461079811022</v>
      </c>
      <c r="D23" s="4">
        <f t="shared" si="36"/>
        <v>0.18265935572309802</v>
      </c>
      <c r="E23" s="4">
        <f t="shared" si="36"/>
        <v>0.17646047265759349</v>
      </c>
      <c r="F23" s="4">
        <f>+F7/F5</f>
        <v>0.16676451818761964</v>
      </c>
      <c r="G23" s="4">
        <f t="shared" si="33"/>
        <v>0.15885026236881558</v>
      </c>
      <c r="H23" s="4">
        <f t="shared" si="33"/>
        <v>0.15838394993557886</v>
      </c>
      <c r="I23" s="4">
        <f t="shared" si="33"/>
        <v>0.15838719606032625</v>
      </c>
      <c r="J23" s="4">
        <f t="shared" si="33"/>
        <v>0.13722852200653468</v>
      </c>
      <c r="K23" s="4">
        <f t="shared" si="33"/>
        <v>0.13795064486645678</v>
      </c>
      <c r="Q23" s="4">
        <f t="shared" ref="Q23:R23" si="37">+Q7/Q5</f>
        <v>0.16961304450530859</v>
      </c>
      <c r="R23" s="4">
        <f t="shared" si="37"/>
        <v>0.16038537992209673</v>
      </c>
      <c r="S23" s="4">
        <f t="shared" ref="S23:AI23" si="38">+S7/S5</f>
        <v>0.15770738282273145</v>
      </c>
      <c r="T23" s="4">
        <f t="shared" si="38"/>
        <v>0.15509285613835178</v>
      </c>
      <c r="U23" s="4">
        <f t="shared" si="38"/>
        <v>0.15253968538948434</v>
      </c>
      <c r="V23" s="4">
        <f t="shared" si="38"/>
        <v>0.14763224267300759</v>
      </c>
      <c r="W23" s="4">
        <f t="shared" si="38"/>
        <v>0.14294503711194825</v>
      </c>
      <c r="X23" s="4">
        <f t="shared" si="38"/>
        <v>0.13846436336812051</v>
      </c>
      <c r="Y23" s="4">
        <f t="shared" si="38"/>
        <v>0.13417762606313172</v>
      </c>
      <c r="Z23" s="4">
        <f t="shared" si="38"/>
        <v>0.13007322958222731</v>
      </c>
      <c r="AA23" s="4">
        <f t="shared" si="38"/>
        <v>0.12614048075202902</v>
      </c>
      <c r="AB23" s="4">
        <f t="shared" si="38"/>
        <v>0.12236950267100255</v>
      </c>
      <c r="AC23" s="4">
        <f t="shared" si="38"/>
        <v>0.11875115822954382</v>
      </c>
      <c r="AD23" s="4">
        <f t="shared" si="38"/>
        <v>0.11527698207189957</v>
      </c>
      <c r="AE23" s="4">
        <f t="shared" si="38"/>
        <v>0.11193911993246076</v>
      </c>
      <c r="AF23" s="4">
        <f t="shared" si="38"/>
        <v>0.10873027443049003</v>
      </c>
      <c r="AG23" s="4">
        <f t="shared" si="38"/>
        <v>0.10564365653509496</v>
      </c>
      <c r="AH23" s="4">
        <f t="shared" si="38"/>
        <v>0.1026729420203064</v>
      </c>
      <c r="AI23" s="4">
        <f t="shared" si="38"/>
        <v>9.9812232321786903E-2</v>
      </c>
    </row>
    <row r="24" spans="1:35" x14ac:dyDescent="0.25">
      <c r="A24" t="s">
        <v>36</v>
      </c>
      <c r="B24" s="4">
        <f t="shared" ref="B24:E24" si="39">+B8/B6</f>
        <v>0.36999671016558833</v>
      </c>
      <c r="C24" s="4">
        <f t="shared" si="39"/>
        <v>0.3411238695254547</v>
      </c>
      <c r="D24" s="4">
        <f t="shared" si="39"/>
        <v>0.35014114669522051</v>
      </c>
      <c r="E24" s="4">
        <f t="shared" si="39"/>
        <v>0.49634752118437714</v>
      </c>
      <c r="F24" s="4">
        <f>+F8/F6</f>
        <v>0.32778165329612835</v>
      </c>
      <c r="G24" s="4">
        <f t="shared" si="33"/>
        <v>0.32876841707593502</v>
      </c>
      <c r="H24" s="4">
        <f t="shared" si="33"/>
        <v>0.35343755551607747</v>
      </c>
      <c r="I24" s="4">
        <f t="shared" si="33"/>
        <v>0.42978618013704284</v>
      </c>
      <c r="J24" s="4">
        <f t="shared" si="33"/>
        <v>0.25422162480047045</v>
      </c>
      <c r="K24" s="4">
        <f t="shared" si="33"/>
        <v>0.26627318718381116</v>
      </c>
      <c r="Q24" s="4">
        <f t="shared" ref="Q24:R24" si="40">+Q8/Q6</f>
        <v>0.39048101265822782</v>
      </c>
      <c r="R24" s="4">
        <f t="shared" si="40"/>
        <v>0.36156911088119398</v>
      </c>
      <c r="S24" s="4">
        <f t="shared" ref="S24:AI24" si="41">+S8/S6</f>
        <v>0.36156911088119398</v>
      </c>
      <c r="T24" s="4">
        <f t="shared" si="41"/>
        <v>0.36156911088119398</v>
      </c>
      <c r="U24" s="4">
        <f t="shared" si="41"/>
        <v>0.36156911088119392</v>
      </c>
      <c r="V24" s="4">
        <f t="shared" si="41"/>
        <v>0.36156911088119392</v>
      </c>
      <c r="W24" s="4">
        <f t="shared" si="41"/>
        <v>0.36156911088119392</v>
      </c>
      <c r="X24" s="4">
        <f t="shared" si="41"/>
        <v>0.36156911088119392</v>
      </c>
      <c r="Y24" s="4">
        <f t="shared" si="41"/>
        <v>0.36156911088119392</v>
      </c>
      <c r="Z24" s="4">
        <f t="shared" si="41"/>
        <v>0.36156911088119392</v>
      </c>
      <c r="AA24" s="4">
        <f t="shared" si="41"/>
        <v>0.36156911088119392</v>
      </c>
      <c r="AB24" s="4">
        <f t="shared" si="41"/>
        <v>0.36156911088119398</v>
      </c>
      <c r="AC24" s="4">
        <f t="shared" si="41"/>
        <v>0.36156911088119398</v>
      </c>
      <c r="AD24" s="4">
        <f t="shared" si="41"/>
        <v>0.36156911088119398</v>
      </c>
      <c r="AE24" s="4">
        <f t="shared" si="41"/>
        <v>0.36156911088119398</v>
      </c>
      <c r="AF24" s="4">
        <f t="shared" si="41"/>
        <v>0.36156911088119398</v>
      </c>
      <c r="AG24" s="4">
        <f t="shared" si="41"/>
        <v>0.36156911088119398</v>
      </c>
      <c r="AH24" s="4">
        <f t="shared" si="41"/>
        <v>0.36156911088119398</v>
      </c>
      <c r="AI24" s="4">
        <f t="shared" si="41"/>
        <v>0.36156911088119403</v>
      </c>
    </row>
    <row r="25" spans="1:35" x14ac:dyDescent="0.25">
      <c r="A25" t="s">
        <v>37</v>
      </c>
      <c r="B25" s="4">
        <f t="shared" ref="B25:J25" si="42">+B10/B3</f>
        <v>0.29545220626075192</v>
      </c>
      <c r="C25" s="4">
        <f t="shared" si="42"/>
        <v>0.28346129009112436</v>
      </c>
      <c r="D25" s="4">
        <f t="shared" si="42"/>
        <v>0.24800266311584554</v>
      </c>
      <c r="E25" s="4">
        <f t="shared" si="42"/>
        <v>0.23879654954765411</v>
      </c>
      <c r="F25" s="4">
        <f t="shared" si="42"/>
        <v>0.24954504420594092</v>
      </c>
      <c r="G25" s="4">
        <f t="shared" si="42"/>
        <v>0.29271888906761029</v>
      </c>
      <c r="H25" s="4">
        <f t="shared" si="42"/>
        <v>0.27829136948613303</v>
      </c>
      <c r="I25" s="4">
        <f t="shared" si="42"/>
        <v>0.27455683003128256</v>
      </c>
      <c r="J25" s="4">
        <f t="shared" si="42"/>
        <v>0.31626913669154072</v>
      </c>
      <c r="K25" s="4">
        <f>+K10/K3</f>
        <v>0.32362936914398999</v>
      </c>
      <c r="Q25" s="4">
        <f t="shared" ref="Q25:R25" si="43">+Q10/Q3</f>
        <v>0.26567339376882715</v>
      </c>
      <c r="R25" s="4">
        <f t="shared" si="43"/>
        <v>0.27421810445226646</v>
      </c>
      <c r="S25" s="4">
        <f t="shared" ref="S25:AI25" si="44">+S10/S3</f>
        <v>0.28113031298129249</v>
      </c>
      <c r="T25" s="4">
        <f t="shared" si="44"/>
        <v>0.28797669095289924</v>
      </c>
      <c r="U25" s="4">
        <f t="shared" si="44"/>
        <v>0.29475786532477644</v>
      </c>
      <c r="V25" s="4">
        <f t="shared" si="44"/>
        <v>0.30806432069600703</v>
      </c>
      <c r="W25" s="4">
        <f t="shared" si="44"/>
        <v>0.32111971087155411</v>
      </c>
      <c r="X25" s="4">
        <f t="shared" si="44"/>
        <v>0.33392877293058143</v>
      </c>
      <c r="Y25" s="4">
        <f t="shared" si="44"/>
        <v>0.34649615457340066</v>
      </c>
      <c r="Z25" s="4">
        <f t="shared" si="44"/>
        <v>0.3588264158078649</v>
      </c>
      <c r="AA25" s="4">
        <f t="shared" si="44"/>
        <v>0.37092403060394274</v>
      </c>
      <c r="AB25" s="4">
        <f t="shared" si="44"/>
        <v>0.38279338851707601</v>
      </c>
      <c r="AC25" s="4">
        <f t="shared" si="44"/>
        <v>0.39443879628090478</v>
      </c>
      <c r="AD25" s="4">
        <f t="shared" si="44"/>
        <v>0.40586447936994435</v>
      </c>
      <c r="AE25" s="4">
        <f t="shared" si="44"/>
        <v>0.4170745835327756</v>
      </c>
      <c r="AF25" s="4">
        <f t="shared" si="44"/>
        <v>0.42807317629630814</v>
      </c>
      <c r="AG25" s="4">
        <f t="shared" si="44"/>
        <v>0.43886424844166078</v>
      </c>
      <c r="AH25" s="4">
        <f t="shared" si="44"/>
        <v>0.44945171545219537</v>
      </c>
      <c r="AI25" s="4">
        <f t="shared" si="44"/>
        <v>0.45983941893422953</v>
      </c>
    </row>
    <row r="26" spans="1:35" x14ac:dyDescent="0.25">
      <c r="A26" t="s">
        <v>38</v>
      </c>
      <c r="B26" s="4">
        <f>+B13/B12</f>
        <v>0.1313768801935416</v>
      </c>
      <c r="C26" s="4">
        <f t="shared" ref="C26:K26" si="45">+C13/C12</f>
        <v>0.15840959293152415</v>
      </c>
      <c r="D26" s="4">
        <f t="shared" si="45"/>
        <v>0.14310355448777182</v>
      </c>
      <c r="E26" s="4">
        <f t="shared" si="45"/>
        <v>0.20545868081880211</v>
      </c>
      <c r="F26" s="4">
        <f t="shared" si="45"/>
        <v>0.17324910738808019</v>
      </c>
      <c r="G26" s="4">
        <f t="shared" si="45"/>
        <v>0.16139341642697347</v>
      </c>
      <c r="H26" s="4">
        <f t="shared" si="45"/>
        <v>7.1142142756050381E-2</v>
      </c>
      <c r="I26" s="4">
        <f t="shared" si="45"/>
        <v>0.15258889070948714</v>
      </c>
      <c r="J26" s="4">
        <f t="shared" si="45"/>
        <v>0.16432986049796927</v>
      </c>
      <c r="K26" s="4">
        <f t="shared" si="45"/>
        <v>0.14271714275343908</v>
      </c>
      <c r="Q26" s="4">
        <f t="shared" ref="Q26:R26" si="46">+Q13/Q12</f>
        <v>0.158541352543698</v>
      </c>
      <c r="R26" s="4">
        <f t="shared" si="46"/>
        <v>0.13908559562280529</v>
      </c>
      <c r="S26" s="4">
        <f t="shared" ref="S26:AI26" si="47">+S13/S12</f>
        <v>0.18</v>
      </c>
      <c r="T26" s="4">
        <f t="shared" si="47"/>
        <v>0.18</v>
      </c>
      <c r="U26" s="4">
        <f t="shared" si="47"/>
        <v>0.18</v>
      </c>
      <c r="V26" s="4">
        <f t="shared" si="47"/>
        <v>0.18</v>
      </c>
      <c r="W26" s="4">
        <f t="shared" si="47"/>
        <v>0.18</v>
      </c>
      <c r="X26" s="4">
        <f t="shared" si="47"/>
        <v>0.18</v>
      </c>
      <c r="Y26" s="4">
        <f t="shared" si="47"/>
        <v>0.18</v>
      </c>
      <c r="Z26" s="4">
        <f t="shared" si="47"/>
        <v>0.18</v>
      </c>
      <c r="AA26" s="4">
        <f t="shared" si="47"/>
        <v>0.18</v>
      </c>
      <c r="AB26" s="4">
        <f t="shared" si="47"/>
        <v>0.18</v>
      </c>
      <c r="AC26" s="4">
        <f t="shared" si="47"/>
        <v>0.18</v>
      </c>
      <c r="AD26" s="4">
        <f t="shared" si="47"/>
        <v>0.18</v>
      </c>
      <c r="AE26" s="4">
        <f t="shared" si="47"/>
        <v>0.18</v>
      </c>
      <c r="AF26" s="4">
        <f t="shared" si="47"/>
        <v>0.18</v>
      </c>
      <c r="AG26" s="4">
        <f t="shared" si="47"/>
        <v>0.18</v>
      </c>
      <c r="AH26" s="4">
        <f t="shared" si="47"/>
        <v>0.18</v>
      </c>
      <c r="AI26" s="4">
        <f t="shared" si="47"/>
        <v>0.17999999999999997</v>
      </c>
    </row>
    <row r="28" spans="1:35" s="1" customFormat="1" x14ac:dyDescent="0.25">
      <c r="A28" s="1" t="s">
        <v>44</v>
      </c>
      <c r="K28" s="1">
        <f>+K31-K41</f>
        <v>128671</v>
      </c>
      <c r="R28" s="1">
        <f>+R31-R41</f>
        <v>129553</v>
      </c>
      <c r="S28" s="7">
        <f>+R28+S14</f>
        <v>205021.03580000001</v>
      </c>
      <c r="T28" s="7">
        <f t="shared" ref="T28:AI28" si="48">+S28+T14</f>
        <v>286730.79988156003</v>
      </c>
      <c r="U28" s="7">
        <f t="shared" si="48"/>
        <v>375090.72314910882</v>
      </c>
      <c r="V28" s="7">
        <f t="shared" si="48"/>
        <v>473451.43747549236</v>
      </c>
      <c r="W28" s="7">
        <f t="shared" si="48"/>
        <v>582616.15236249671</v>
      </c>
      <c r="X28" s="7">
        <f t="shared" si="48"/>
        <v>703444.52095608157</v>
      </c>
      <c r="Y28" s="7">
        <f t="shared" si="48"/>
        <v>836856.35772965243</v>
      </c>
      <c r="Z28" s="7">
        <f t="shared" si="48"/>
        <v>983835.59247929091</v>
      </c>
      <c r="AA28" s="7">
        <f t="shared" si="48"/>
        <v>1145434.4753397689</v>
      </c>
      <c r="AB28" s="7">
        <f t="shared" si="48"/>
        <v>1322778.0484339057</v>
      </c>
      <c r="AC28" s="7">
        <f t="shared" si="48"/>
        <v>1517068.9007266324</v>
      </c>
      <c r="AD28" s="7">
        <f t="shared" si="48"/>
        <v>1729592.2236723481</v>
      </c>
      <c r="AE28" s="7">
        <f t="shared" si="48"/>
        <v>1961721.1863233165</v>
      </c>
      <c r="AF28" s="7">
        <f t="shared" si="48"/>
        <v>2214922.6497117272</v>
      </c>
      <c r="AG28" s="7">
        <f t="shared" si="48"/>
        <v>2490763.2415325972</v>
      </c>
      <c r="AH28" s="7">
        <f t="shared" si="48"/>
        <v>2790915.813443155</v>
      </c>
      <c r="AI28" s="7">
        <f t="shared" si="48"/>
        <v>3117166.3046611878</v>
      </c>
    </row>
    <row r="29" spans="1:35" x14ac:dyDescent="0.25">
      <c r="A29" t="s">
        <v>64</v>
      </c>
      <c r="R29" s="10">
        <f>+R28/K28-1</f>
        <v>6.8546914223095445E-3</v>
      </c>
    </row>
    <row r="30" spans="1:35" x14ac:dyDescent="0.25">
      <c r="R30" s="4"/>
    </row>
    <row r="31" spans="1:35" x14ac:dyDescent="0.25">
      <c r="A31" t="s">
        <v>4</v>
      </c>
      <c r="K31">
        <f>24048+86868+31008</f>
        <v>141924</v>
      </c>
      <c r="R31">
        <f>21879+91883+30492</f>
        <v>144254</v>
      </c>
    </row>
    <row r="32" spans="1:35" x14ac:dyDescent="0.25">
      <c r="A32" t="s">
        <v>48</v>
      </c>
      <c r="K32">
        <v>47964</v>
      </c>
      <c r="R32">
        <v>40258</v>
      </c>
    </row>
    <row r="33" spans="1:18" x14ac:dyDescent="0.25">
      <c r="A33" t="s">
        <v>49</v>
      </c>
      <c r="K33">
        <f>12650+10051</f>
        <v>22701</v>
      </c>
      <c r="R33">
        <v>10775</v>
      </c>
    </row>
    <row r="34" spans="1:18" x14ac:dyDescent="0.25">
      <c r="A34" t="s">
        <v>42</v>
      </c>
      <c r="K34">
        <v>12169</v>
      </c>
      <c r="R34">
        <v>5261</v>
      </c>
    </row>
    <row r="35" spans="1:18" x14ac:dyDescent="0.25">
      <c r="A35" t="s">
        <v>52</v>
      </c>
      <c r="K35">
        <v>134345</v>
      </c>
      <c r="R35">
        <v>112668</v>
      </c>
    </row>
    <row r="36" spans="1:18" x14ac:dyDescent="0.25">
      <c r="A36" t="s">
        <v>54</v>
      </c>
      <c r="K36">
        <v>29198</v>
      </c>
      <c r="R36">
        <v>28960</v>
      </c>
    </row>
    <row r="37" spans="1:18" x14ac:dyDescent="0.25">
      <c r="A37" t="s">
        <v>53</v>
      </c>
      <c r="K37">
        <v>0</v>
      </c>
      <c r="R37">
        <v>14381</v>
      </c>
    </row>
    <row r="38" spans="1:18" x14ac:dyDescent="0.25">
      <c r="A38" t="s">
        <v>49</v>
      </c>
      <c r="K38">
        <v>14091</v>
      </c>
      <c r="R38">
        <v>8707</v>
      </c>
    </row>
    <row r="39" spans="1:18" x14ac:dyDescent="0.25">
      <c r="A39" t="s">
        <v>51</v>
      </c>
      <c r="K39">
        <f>SUM(K31:K38)</f>
        <v>402392</v>
      </c>
      <c r="R39">
        <f>SUM(R31:R38)</f>
        <v>365264</v>
      </c>
    </row>
    <row r="41" spans="1:18" x14ac:dyDescent="0.25">
      <c r="A41" t="s">
        <v>5</v>
      </c>
      <c r="K41">
        <v>13253</v>
      </c>
      <c r="R41">
        <v>14701</v>
      </c>
    </row>
    <row r="42" spans="1:18" x14ac:dyDescent="0.25">
      <c r="A42" t="s">
        <v>55</v>
      </c>
      <c r="K42">
        <v>7493</v>
      </c>
      <c r="R42">
        <v>5128</v>
      </c>
    </row>
    <row r="43" spans="1:18" x14ac:dyDescent="0.25">
      <c r="A43" t="s">
        <v>56</v>
      </c>
      <c r="K43">
        <f>15140+46168+8876+4137</f>
        <v>74321</v>
      </c>
      <c r="R43">
        <f>14028+37866+8370</f>
        <v>60264</v>
      </c>
    </row>
    <row r="44" spans="1:18" x14ac:dyDescent="0.25">
      <c r="A44" t="s">
        <v>42</v>
      </c>
      <c r="K44">
        <v>911</v>
      </c>
      <c r="R44">
        <f>3908+599+514</f>
        <v>5021</v>
      </c>
    </row>
    <row r="45" spans="1:18" x14ac:dyDescent="0.25">
      <c r="A45" t="s">
        <v>28</v>
      </c>
      <c r="K45">
        <f>8474+485</f>
        <v>8959</v>
      </c>
      <c r="R45">
        <v>9258</v>
      </c>
    </row>
    <row r="46" spans="1:18" x14ac:dyDescent="0.25">
      <c r="A46" t="s">
        <v>57</v>
      </c>
      <c r="K46">
        <v>12460</v>
      </c>
      <c r="R46">
        <v>12501</v>
      </c>
    </row>
    <row r="47" spans="1:18" x14ac:dyDescent="0.25">
      <c r="A47" t="s">
        <v>58</v>
      </c>
      <c r="K47">
        <v>1616</v>
      </c>
      <c r="R47">
        <v>2247</v>
      </c>
    </row>
    <row r="48" spans="1:18" x14ac:dyDescent="0.25">
      <c r="A48" t="s">
        <v>61</v>
      </c>
      <c r="K48">
        <f>SUM(K41:K47)</f>
        <v>119013</v>
      </c>
      <c r="R48">
        <f>SUM(R41:R47)</f>
        <v>109120</v>
      </c>
    </row>
    <row r="50" spans="1:18" s="1" customFormat="1" x14ac:dyDescent="0.25">
      <c r="A50" s="1" t="s">
        <v>59</v>
      </c>
      <c r="K50" s="1">
        <f>+K39-K48</f>
        <v>283379</v>
      </c>
      <c r="R50" s="1">
        <f>+R39-R48</f>
        <v>256144</v>
      </c>
    </row>
    <row r="51" spans="1:18" s="1" customFormat="1" x14ac:dyDescent="0.25">
      <c r="A51" s="1" t="s">
        <v>60</v>
      </c>
      <c r="K51" s="1">
        <f>+K48+K50</f>
        <v>402392</v>
      </c>
      <c r="R51" s="1">
        <f>+R48+R50</f>
        <v>365264</v>
      </c>
    </row>
    <row r="53" spans="1:18" x14ac:dyDescent="0.25">
      <c r="A53" t="s">
        <v>62</v>
      </c>
      <c r="K53" s="4">
        <f>+K14/K39</f>
        <v>5.8696494960138373E-2</v>
      </c>
      <c r="R53" s="4">
        <f>+R14/R39</f>
        <v>0.20203195496955625</v>
      </c>
    </row>
    <row r="54" spans="1:18" x14ac:dyDescent="0.25">
      <c r="A54" t="s">
        <v>63</v>
      </c>
      <c r="K54" s="4">
        <f>+K14/K50</f>
        <v>8.3347742775576175E-2</v>
      </c>
      <c r="R54" s="4">
        <f>+R14/R50</f>
        <v>0.28809966268973702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E81AC5-FF3A-47AD-BD2B-6BB1E41A8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5E1DA7-8015-4346-816F-416B94E36C63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02570eab-4ecf-4bb5-b806-a666b23f79b6"/>
    <ds:schemaRef ds:uri="http://schemas.microsoft.com/office/infopath/2007/PartnerControls"/>
    <ds:schemaRef ds:uri="http://schemas.openxmlformats.org/package/2006/metadata/core-properties"/>
    <ds:schemaRef ds:uri="de0fd296-9832-4e10-a7ad-2bcee574d3b0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6ED1FCD-EA5C-4BBA-BEEE-3A91E7C112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2024-09-24T16:42:12Z</dcterms:created>
  <dcterms:modified xsi:type="dcterms:W3CDTF">2024-10-01T13:15:01Z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