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95" documentId="8_{70DFFC3E-6C4D-4A2D-964D-CFCD4842EF0F}" xr6:coauthVersionLast="47" xr6:coauthVersionMax="47" xr10:uidLastSave="{9370E125-76DC-4E49-ADD2-370D32B941F5}"/>
  <bookViews>
    <workbookView xWindow="-108" yWindow="-108" windowWidth="23256" windowHeight="12456" activeTab="1" xr2:uid="{E13D6040-9EF9-4A6A-9858-A34E1D7213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" i="2" l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AC18" i="2"/>
  <c r="W12" i="2"/>
  <c r="X12" i="2" s="1"/>
  <c r="Y12" i="2" s="1"/>
  <c r="Z12" i="2" s="1"/>
  <c r="AA12" i="2" s="1"/>
  <c r="AB12" i="2" s="1"/>
  <c r="V12" i="2"/>
  <c r="V11" i="2"/>
  <c r="W11" i="2" s="1"/>
  <c r="X11" i="2" s="1"/>
  <c r="Y11" i="2" s="1"/>
  <c r="Z11" i="2" s="1"/>
  <c r="AA11" i="2" s="1"/>
  <c r="AB11" i="2" s="1"/>
  <c r="W10" i="2"/>
  <c r="X10" i="2" s="1"/>
  <c r="Y10" i="2" s="1"/>
  <c r="Z10" i="2" s="1"/>
  <c r="AA10" i="2" s="1"/>
  <c r="AB10" i="2" s="1"/>
  <c r="V10" i="2"/>
  <c r="AB7" i="2"/>
  <c r="AA7" i="2"/>
  <c r="Z7" i="2"/>
  <c r="Y7" i="2"/>
  <c r="X7" i="2"/>
  <c r="W7" i="2"/>
  <c r="V7" i="2"/>
  <c r="AC6" i="2"/>
  <c r="AB6" i="2"/>
  <c r="AA6" i="2"/>
  <c r="Z6" i="2"/>
  <c r="Y6" i="2"/>
  <c r="X6" i="2"/>
  <c r="W6" i="2"/>
  <c r="V6" i="2"/>
  <c r="AB5" i="2"/>
  <c r="AA5" i="2"/>
  <c r="Z5" i="2"/>
  <c r="Y5" i="2"/>
  <c r="X5" i="2"/>
  <c r="W5" i="2"/>
  <c r="V5" i="2"/>
  <c r="Y4" i="2"/>
  <c r="Z4" i="2" s="1"/>
  <c r="AA4" i="2" s="1"/>
  <c r="AB4" i="2" s="1"/>
  <c r="X4" i="2"/>
  <c r="W4" i="2"/>
  <c r="V4" i="2"/>
  <c r="X3" i="2"/>
  <c r="Y3" i="2" s="1"/>
  <c r="Z3" i="2" s="1"/>
  <c r="AA3" i="2" s="1"/>
  <c r="AB3" i="2" s="1"/>
  <c r="W3" i="2"/>
  <c r="V3" i="2"/>
  <c r="V15" i="2"/>
  <c r="T62" i="2" l="1"/>
  <c r="T61" i="2"/>
  <c r="U62" i="2"/>
  <c r="U61" i="2"/>
  <c r="G28" i="2"/>
  <c r="E28" i="2"/>
  <c r="K27" i="2"/>
  <c r="I27" i="2"/>
  <c r="C27" i="2"/>
  <c r="M27" i="2"/>
  <c r="O12" i="2"/>
  <c r="O9" i="2"/>
  <c r="V19" i="2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U17" i="2"/>
  <c r="U15" i="2"/>
  <c r="U12" i="2"/>
  <c r="U11" i="2"/>
  <c r="U10" i="2"/>
  <c r="U13" i="2" s="1"/>
  <c r="U7" i="2"/>
  <c r="U6" i="2"/>
  <c r="U8" i="2" s="1"/>
  <c r="U4" i="2"/>
  <c r="U3" i="2"/>
  <c r="T17" i="2"/>
  <c r="T15" i="2"/>
  <c r="T12" i="2"/>
  <c r="T11" i="2"/>
  <c r="T10" i="2"/>
  <c r="T7" i="2"/>
  <c r="T6" i="2"/>
  <c r="T4" i="2"/>
  <c r="T3" i="2"/>
  <c r="S17" i="2"/>
  <c r="S15" i="2"/>
  <c r="S12" i="2"/>
  <c r="S11" i="2"/>
  <c r="S10" i="2"/>
  <c r="S7" i="2"/>
  <c r="S6" i="2"/>
  <c r="S8" i="2" s="1"/>
  <c r="S4" i="2"/>
  <c r="S3" i="2"/>
  <c r="S5" i="2" s="1"/>
  <c r="B13" i="2"/>
  <c r="B8" i="2"/>
  <c r="B28" i="2" s="1"/>
  <c r="B5" i="2"/>
  <c r="B25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T53" i="2"/>
  <c r="T52" i="2"/>
  <c r="T51" i="2"/>
  <c r="T48" i="2"/>
  <c r="U53" i="2"/>
  <c r="U52" i="2"/>
  <c r="U51" i="2"/>
  <c r="U48" i="2"/>
  <c r="T42" i="2"/>
  <c r="T45" i="2"/>
  <c r="T39" i="2"/>
  <c r="U42" i="2"/>
  <c r="U45" i="2"/>
  <c r="U39" i="2"/>
  <c r="M13" i="2"/>
  <c r="M8" i="2"/>
  <c r="M28" i="2" s="1"/>
  <c r="M5" i="2"/>
  <c r="M33" i="2" s="1"/>
  <c r="L13" i="2"/>
  <c r="L8" i="2"/>
  <c r="L28" i="2" s="1"/>
  <c r="L5" i="2"/>
  <c r="L9" i="2" s="1"/>
  <c r="L30" i="2" s="1"/>
  <c r="K13" i="2"/>
  <c r="J13" i="2"/>
  <c r="I13" i="2"/>
  <c r="H13" i="2"/>
  <c r="G13" i="2"/>
  <c r="F13" i="2"/>
  <c r="E13" i="2"/>
  <c r="D13" i="2"/>
  <c r="K8" i="2"/>
  <c r="K28" i="2" s="1"/>
  <c r="J8" i="2"/>
  <c r="J28" i="2" s="1"/>
  <c r="I8" i="2"/>
  <c r="I28" i="2" s="1"/>
  <c r="H8" i="2"/>
  <c r="H27" i="2" s="1"/>
  <c r="G8" i="2"/>
  <c r="G27" i="2" s="1"/>
  <c r="F8" i="2"/>
  <c r="F27" i="2" s="1"/>
  <c r="E8" i="2"/>
  <c r="E27" i="2" s="1"/>
  <c r="D8" i="2"/>
  <c r="D28" i="2" s="1"/>
  <c r="K5" i="2"/>
  <c r="K32" i="2" s="1"/>
  <c r="J5" i="2"/>
  <c r="J33" i="2" s="1"/>
  <c r="I5" i="2"/>
  <c r="I33" i="2" s="1"/>
  <c r="H5" i="2"/>
  <c r="G5" i="2"/>
  <c r="G33" i="2" s="1"/>
  <c r="F5" i="2"/>
  <c r="F31" i="2" s="1"/>
  <c r="E5" i="2"/>
  <c r="E33" i="2" s="1"/>
  <c r="D5" i="2"/>
  <c r="D32" i="2" s="1"/>
  <c r="C13" i="2"/>
  <c r="C8" i="2"/>
  <c r="C28" i="2" s="1"/>
  <c r="C5" i="2"/>
  <c r="C26" i="2" s="1"/>
  <c r="L7" i="1"/>
  <c r="L6" i="1"/>
  <c r="L5" i="1"/>
  <c r="L4" i="1"/>
  <c r="H9" i="2" l="1"/>
  <c r="H14" i="2" s="1"/>
  <c r="H16" i="2" s="1"/>
  <c r="H18" i="2" s="1"/>
  <c r="V8" i="2"/>
  <c r="X8" i="2"/>
  <c r="W8" i="2"/>
  <c r="B27" i="2"/>
  <c r="J27" i="2"/>
  <c r="F28" i="2"/>
  <c r="D27" i="2"/>
  <c r="L27" i="2"/>
  <c r="H28" i="2"/>
  <c r="M25" i="2"/>
  <c r="C25" i="2"/>
  <c r="I25" i="2"/>
  <c r="K25" i="2"/>
  <c r="E26" i="2"/>
  <c r="G26" i="2"/>
  <c r="J25" i="2"/>
  <c r="F26" i="2"/>
  <c r="D25" i="2"/>
  <c r="L25" i="2"/>
  <c r="H26" i="2"/>
  <c r="S13" i="2"/>
  <c r="T8" i="2"/>
  <c r="E25" i="2"/>
  <c r="M26" i="2"/>
  <c r="I26" i="2"/>
  <c r="B9" i="2"/>
  <c r="B14" i="2" s="1"/>
  <c r="F25" i="2"/>
  <c r="B26" i="2"/>
  <c r="J26" i="2"/>
  <c r="G25" i="2"/>
  <c r="K26" i="2"/>
  <c r="H25" i="2"/>
  <c r="D26" i="2"/>
  <c r="L26" i="2"/>
  <c r="T5" i="2"/>
  <c r="U37" i="2"/>
  <c r="U5" i="2"/>
  <c r="U9" i="2" s="1"/>
  <c r="U14" i="2" s="1"/>
  <c r="U16" i="2" s="1"/>
  <c r="U18" i="2" s="1"/>
  <c r="T13" i="2"/>
  <c r="S9" i="2"/>
  <c r="B33" i="2"/>
  <c r="B30" i="2"/>
  <c r="B31" i="2"/>
  <c r="B32" i="2"/>
  <c r="M32" i="2"/>
  <c r="U46" i="2"/>
  <c r="E31" i="2"/>
  <c r="T37" i="2"/>
  <c r="G31" i="2"/>
  <c r="J31" i="2"/>
  <c r="E32" i="2"/>
  <c r="H32" i="2"/>
  <c r="C9" i="2"/>
  <c r="C30" i="2" s="1"/>
  <c r="H21" i="2"/>
  <c r="C33" i="2"/>
  <c r="T56" i="2"/>
  <c r="I21" i="2"/>
  <c r="H31" i="2"/>
  <c r="F32" i="2"/>
  <c r="D33" i="2"/>
  <c r="L33" i="2"/>
  <c r="H35" i="2"/>
  <c r="K33" i="2"/>
  <c r="D9" i="2"/>
  <c r="D30" i="2" s="1"/>
  <c r="J21" i="2"/>
  <c r="G21" i="2"/>
  <c r="I31" i="2"/>
  <c r="G32" i="2"/>
  <c r="F33" i="2"/>
  <c r="L21" i="2"/>
  <c r="C31" i="2"/>
  <c r="K31" i="2"/>
  <c r="I32" i="2"/>
  <c r="K21" i="2"/>
  <c r="M31" i="2"/>
  <c r="D31" i="2"/>
  <c r="L31" i="2"/>
  <c r="J32" i="2"/>
  <c r="H33" i="2"/>
  <c r="M21" i="2"/>
  <c r="C32" i="2"/>
  <c r="U56" i="2"/>
  <c r="H30" i="2"/>
  <c r="L32" i="2"/>
  <c r="H34" i="2"/>
  <c r="T46" i="2"/>
  <c r="M9" i="2"/>
  <c r="L14" i="2"/>
  <c r="K9" i="2"/>
  <c r="J9" i="2"/>
  <c r="I9" i="2"/>
  <c r="G9" i="2"/>
  <c r="F9" i="2"/>
  <c r="E9" i="2"/>
  <c r="V13" i="2" l="1"/>
  <c r="V9" i="2"/>
  <c r="Y8" i="2"/>
  <c r="T9" i="2"/>
  <c r="T14" i="2" s="1"/>
  <c r="T16" i="2" s="1"/>
  <c r="T18" i="2" s="1"/>
  <c r="S14" i="2"/>
  <c r="S16" i="2" s="1"/>
  <c r="S18" i="2" s="1"/>
  <c r="B34" i="2"/>
  <c r="B16" i="2"/>
  <c r="D14" i="2"/>
  <c r="D16" i="2" s="1"/>
  <c r="C14" i="2"/>
  <c r="C34" i="2" s="1"/>
  <c r="I14" i="2"/>
  <c r="I30" i="2"/>
  <c r="K14" i="2"/>
  <c r="K30" i="2"/>
  <c r="L16" i="2"/>
  <c r="L34" i="2"/>
  <c r="C16" i="2"/>
  <c r="T58" i="2"/>
  <c r="T59" i="2" s="1"/>
  <c r="J14" i="2"/>
  <c r="J30" i="2"/>
  <c r="M14" i="2"/>
  <c r="M30" i="2"/>
  <c r="E14" i="2"/>
  <c r="E30" i="2"/>
  <c r="F14" i="2"/>
  <c r="F30" i="2"/>
  <c r="G14" i="2"/>
  <c r="G30" i="2"/>
  <c r="U58" i="2"/>
  <c r="U59" i="2" s="1"/>
  <c r="V14" i="2" l="1"/>
  <c r="W9" i="2"/>
  <c r="W13" i="2"/>
  <c r="Z8" i="2"/>
  <c r="D34" i="2"/>
  <c r="B35" i="2"/>
  <c r="B18" i="2"/>
  <c r="D18" i="2"/>
  <c r="H22" i="2" s="1"/>
  <c r="D35" i="2"/>
  <c r="G16" i="2"/>
  <c r="G34" i="2"/>
  <c r="F16" i="2"/>
  <c r="F34" i="2"/>
  <c r="M16" i="2"/>
  <c r="M34" i="2"/>
  <c r="L18" i="2"/>
  <c r="L22" i="2" s="1"/>
  <c r="L35" i="2"/>
  <c r="J16" i="2"/>
  <c r="J34" i="2"/>
  <c r="K16" i="2"/>
  <c r="K34" i="2"/>
  <c r="E16" i="2"/>
  <c r="E34" i="2"/>
  <c r="C18" i="2"/>
  <c r="C35" i="2"/>
  <c r="I16" i="2"/>
  <c r="I34" i="2"/>
  <c r="X9" i="2" l="1"/>
  <c r="X13" i="2"/>
  <c r="W14" i="2"/>
  <c r="AA8" i="2"/>
  <c r="E18" i="2"/>
  <c r="E35" i="2"/>
  <c r="F18" i="2"/>
  <c r="F35" i="2"/>
  <c r="J18" i="2"/>
  <c r="J22" i="2" s="1"/>
  <c r="J35" i="2"/>
  <c r="M18" i="2"/>
  <c r="M35" i="2"/>
  <c r="K18" i="2"/>
  <c r="K35" i="2"/>
  <c r="I18" i="2"/>
  <c r="I35" i="2"/>
  <c r="G18" i="2"/>
  <c r="G22" i="2" s="1"/>
  <c r="G35" i="2"/>
  <c r="Y9" i="2" l="1"/>
  <c r="X14" i="2"/>
  <c r="AB8" i="2"/>
  <c r="M22" i="2"/>
  <c r="I22" i="2"/>
  <c r="K22" i="2"/>
  <c r="Z9" i="2" l="1"/>
  <c r="Z13" i="2"/>
  <c r="Y13" i="2"/>
  <c r="Y14" i="2" s="1"/>
  <c r="Z14" i="2" l="1"/>
  <c r="AA9" i="2"/>
  <c r="AB9" i="2" l="1"/>
  <c r="AA13" i="2"/>
  <c r="AA14" i="2" s="1"/>
  <c r="AB13" i="2" l="1"/>
  <c r="AB14" i="2" s="1"/>
  <c r="V16" i="2" l="1"/>
  <c r="V17" i="2" s="1"/>
  <c r="V18" i="2" l="1"/>
  <c r="V37" i="2" s="1"/>
  <c r="W15" i="2" l="1"/>
  <c r="W16" i="2" s="1"/>
  <c r="W17" i="2" l="1"/>
  <c r="W18" i="2" s="1"/>
  <c r="W37" i="2" l="1"/>
  <c r="X15" i="2" l="1"/>
  <c r="X16" i="2" s="1"/>
  <c r="X17" i="2" l="1"/>
  <c r="X18" i="2" s="1"/>
  <c r="X37" i="2" l="1"/>
  <c r="Y15" i="2" l="1"/>
  <c r="Y16" i="2" s="1"/>
  <c r="Y17" i="2" l="1"/>
  <c r="Y18" i="2" s="1"/>
  <c r="Y37" i="2" l="1"/>
  <c r="Z15" i="2" l="1"/>
  <c r="Z16" i="2" s="1"/>
  <c r="Z17" i="2" l="1"/>
  <c r="Z18" i="2" s="1"/>
  <c r="Z37" i="2" l="1"/>
  <c r="AA15" i="2" l="1"/>
  <c r="AA16" i="2" s="1"/>
  <c r="AA17" i="2" l="1"/>
  <c r="AA18" i="2" s="1"/>
  <c r="AA37" i="2" s="1"/>
  <c r="AB15" i="2" l="1"/>
  <c r="AB16" i="2" s="1"/>
  <c r="AB17" i="2" l="1"/>
  <c r="AB18" i="2" s="1"/>
  <c r="AB37" i="2" s="1"/>
  <c r="AC37" i="2" l="1"/>
  <c r="AD37" i="2" l="1"/>
  <c r="AE37" i="2" l="1"/>
  <c r="AF37" i="2" l="1"/>
  <c r="AG37" i="2" l="1"/>
  <c r="AH37" i="2" l="1"/>
  <c r="AI37" i="2" l="1"/>
  <c r="AJ37" i="2" l="1"/>
  <c r="O8" i="2" l="1"/>
  <c r="O10" i="2" s="1"/>
  <c r="O11" i="2" s="1"/>
  <c r="AK37" i="2"/>
  <c r="O13" i="2" l="1"/>
</calcChain>
</file>

<file path=xl/sharedStrings.xml><?xml version="1.0" encoding="utf-8"?>
<sst xmlns="http://schemas.openxmlformats.org/spreadsheetml/2006/main" count="97" uniqueCount="73">
  <si>
    <t>MSFT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</si>
  <si>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</si>
  <si>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</si>
  <si>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</si>
  <si>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</si>
  <si>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</si>
  <si>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</si>
  <si>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</si>
  <si>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</si>
  <si>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</si>
  <si>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</si>
  <si>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</si>
  <si>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</si>
  <si>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</si>
  <si>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</si>
  <si>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</si>
  <si>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</si>
  <si>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</si>
  <si>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 xml:space="preserve"> </t>
  </si>
  <si>
    <t>Products</t>
  </si>
  <si>
    <t>Services</t>
  </si>
  <si>
    <t>Revenue</t>
  </si>
  <si>
    <t>COGS</t>
  </si>
  <si>
    <t xml:space="preserve">Gross Profit </t>
  </si>
  <si>
    <t>RD</t>
  </si>
  <si>
    <t>SM</t>
  </si>
  <si>
    <t>GA</t>
  </si>
  <si>
    <t>Operating Profit</t>
  </si>
  <si>
    <t>Interest Income</t>
  </si>
  <si>
    <t>Pretaxe</t>
  </si>
  <si>
    <t>Taxes</t>
  </si>
  <si>
    <t>Net Income</t>
  </si>
  <si>
    <t>EPS</t>
  </si>
  <si>
    <t>OPEX</t>
  </si>
  <si>
    <t>Revenue y/y</t>
  </si>
  <si>
    <t>NI y/y</t>
  </si>
  <si>
    <t>Gross Margin</t>
  </si>
  <si>
    <t>RD %</t>
  </si>
  <si>
    <t>SM %</t>
  </si>
  <si>
    <t>GA %</t>
  </si>
  <si>
    <t>Operating Margin</t>
  </si>
  <si>
    <t>Taxe Rate</t>
  </si>
  <si>
    <t>A/R</t>
  </si>
  <si>
    <t>Inventories</t>
  </si>
  <si>
    <t>PPE</t>
  </si>
  <si>
    <t>OLA</t>
  </si>
  <si>
    <t>Intangibles</t>
  </si>
  <si>
    <t>Other</t>
  </si>
  <si>
    <t>Assets</t>
  </si>
  <si>
    <t>A/P</t>
  </si>
  <si>
    <t>A/C</t>
  </si>
  <si>
    <t>Unrealized</t>
  </si>
  <si>
    <t>DT</t>
  </si>
  <si>
    <t>OLL</t>
  </si>
  <si>
    <t>NC</t>
  </si>
  <si>
    <t>S/E</t>
  </si>
  <si>
    <t>L+S/E</t>
  </si>
  <si>
    <t>ROA</t>
  </si>
  <si>
    <t>ROE</t>
  </si>
  <si>
    <t>Q122</t>
  </si>
  <si>
    <t>ROIC</t>
  </si>
  <si>
    <t>MR</t>
  </si>
  <si>
    <t>DR</t>
  </si>
  <si>
    <t>NPV</t>
  </si>
  <si>
    <t>True Value</t>
  </si>
  <si>
    <t>Per Share</t>
  </si>
  <si>
    <t>Current</t>
  </si>
  <si>
    <t>Ratio</t>
  </si>
  <si>
    <t>Services %rev</t>
  </si>
  <si>
    <t>Product %rev</t>
  </si>
  <si>
    <t>Product %cost</t>
  </si>
  <si>
    <t xml:space="preserve">Services %cost 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</si>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</sst>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655320</xdr:colOff>
      <xdr:row>0</xdr:row>
      <xdr:rowOff>144780</xdr:rowOff>
    </xdr:from>
    <xdr:to>
      <xdr:col>12</xdr:col>
      <xdr:colOff>655320</xdr:colOff>
      <xdr:row>45</xdr:row>
      <xdr:rowOff>106680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14144E54-08AF-4AE8-94F3-0FF6798590B0}"/>
            </a:ext>
          </a:extLst>
        </xdr:cNvPr>
        <xdr:cNvCxnSpPr/>
      </xdr:nvCxnSpPr>
      <xdr:spPr>
        <a:xfrm>
          <a:off x="8572500" y="144780"/>
          <a:ext cx="0" cy="67970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167640</xdr:rowOff>
    </xdr:from>
    <xdr:to>
      <xdr:col>21</xdr:col>
      <xdr:colOff>0</xdr:colOff>
      <xdr:row>45</xdr:row>
      <xdr:rowOff>129540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3D175C66-07A5-41FC-B688-2DB7DEF2D466}"/>
            </a:ext>
          </a:extLst>
        </xdr:cNvPr>
        <xdr:cNvCxnSpPr/>
      </xdr:nvCxnSpPr>
      <xdr:spPr>
        <a:xfrm>
          <a:off x="15079980" y="167640"/>
          <a:ext cx="0" cy="67970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C103-336B-44CA-BE13-B3F6D66A32A9}">
  <dimension ref="B2:L7"/>
  <sheetViews>
    <sheetView topLeftCell="E1" workbookViewId="0">
      <selection activeCell="L6" sqref="L6"/>
    </sheetView>
  </sheetViews>
  <sheetFormatPr defaultRowHeight="13.8" x14ac:dyDescent="0.25"/>
  <cols>
    <col min="12" max="12" width="12.3984375" bestFit="1" customWidth="1"/>
  </cols>
  <sheetData>
    <row r="2" spans="2:12" x14ac:dyDescent="0.25">
      <c r="B2" s="2" t="s">
        <v>0</v>
      </c>
      <c r="K2" t="s">
        <v>1</v>
      </c>
      <c r="L2" s="3">
        <v>435</v>
      </c>
    </row>
    <row r="3" spans="2:12" x14ac:dyDescent="0.25">
      <c r="K3" t="s">
        <v>2</v>
      </c>
      <c r="L3" s="3">
        <v>7433.0383810000003</v>
      </c>
    </row>
    <row r="4" spans="2:12" x14ac:dyDescent="0.25">
      <c r="K4" t="s">
        <v>3</v>
      </c>
      <c r="L4" s="3">
        <f>+L2*L3</f>
        <v>3233371.6957350001</v>
      </c>
    </row>
    <row r="5" spans="2:12" x14ac:dyDescent="0.25">
      <c r="K5" t="s">
        <v>4</v>
      </c>
      <c r="L5" s="3">
        <f>18315+57228+14600</f>
        <v>90143</v>
      </c>
    </row>
    <row r="6" spans="2:12" x14ac:dyDescent="0.25">
      <c r="K6" t="s">
        <v>5</v>
      </c>
      <c r="L6" s="3">
        <f>6693+2249+42688</f>
        <v>51630</v>
      </c>
    </row>
    <row r="7" spans="2:12" x14ac:dyDescent="0.25">
      <c r="K7" t="s">
        <v>6</v>
      </c>
      <c r="L7" s="3">
        <f>+L4-L5+L6</f>
        <v>3194858.6957350001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6F25-D959-4DE9-AE64-3BAC8B290B4A}">
  <dimension ref="A2:BJ62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P12" sqref="P12"/>
    </sheetView>
  </sheetViews>
  <sheetFormatPr defaultRowHeight="13.8" x14ac:dyDescent="0.25"/>
  <cols>
    <col min="1" max="1" width="14.796875" bestFit="1" customWidth="1"/>
    <col min="2" max="2" width="14.796875" customWidth="1"/>
    <col min="9" max="9" width="9.8984375" bestFit="1" customWidth="1"/>
    <col min="14" max="14" width="9.69921875" bestFit="1" customWidth="1"/>
    <col min="15" max="15" width="18.59765625" bestFit="1" customWidth="1"/>
    <col min="20" max="35" width="8.8984375" bestFit="1" customWidth="1"/>
    <col min="36" max="37" width="9.8984375" bestFit="1" customWidth="1"/>
  </cols>
  <sheetData>
    <row r="2" spans="1:37" x14ac:dyDescent="0.25">
      <c r="B2" t="s">
        <v>59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S2">
        <v>2022</v>
      </c>
      <c r="T2">
        <f>+S2+1</f>
        <v>2023</v>
      </c>
      <c r="U2">
        <f t="shared" ref="U2:AK2" si="0">+T2+1</f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  <c r="AG2">
        <f t="shared" si="0"/>
        <v>2036</v>
      </c>
      <c r="AH2">
        <f t="shared" si="0"/>
        <v>2037</v>
      </c>
      <c r="AI2">
        <f t="shared" si="0"/>
        <v>2038</v>
      </c>
      <c r="AJ2">
        <f t="shared" si="0"/>
        <v>2039</v>
      </c>
      <c r="AK2">
        <f t="shared" si="0"/>
        <v>2040</v>
      </c>
    </row>
    <row r="3" spans="1:37" x14ac:dyDescent="0.25">
      <c r="A3" t="s">
        <v>19</v>
      </c>
      <c r="B3">
        <v>16631</v>
      </c>
      <c r="C3" s="3">
        <v>20779</v>
      </c>
      <c r="D3" s="3">
        <v>17366</v>
      </c>
      <c r="E3" s="3">
        <v>17956</v>
      </c>
      <c r="F3" s="3">
        <v>15741</v>
      </c>
      <c r="G3" s="3">
        <v>16517</v>
      </c>
      <c r="H3" s="3">
        <v>15588</v>
      </c>
      <c r="I3" s="3">
        <v>16853</v>
      </c>
      <c r="J3" s="3">
        <v>15535</v>
      </c>
      <c r="K3" s="3">
        <v>18941</v>
      </c>
      <c r="L3" s="3">
        <v>17080</v>
      </c>
      <c r="M3" s="3">
        <v>13217</v>
      </c>
      <c r="S3">
        <f>SUM(B3:E3)</f>
        <v>72732</v>
      </c>
      <c r="T3" s="3">
        <f>SUM(F3:I3)</f>
        <v>64699</v>
      </c>
      <c r="U3" s="3">
        <f>SUM(J3:M3)</f>
        <v>64773</v>
      </c>
      <c r="V3" s="3">
        <f>+U3*1.03</f>
        <v>66716.19</v>
      </c>
      <c r="W3" s="3">
        <f t="shared" ref="W3:AB3" si="1">+V3*1.03</f>
        <v>68717.675700000007</v>
      </c>
      <c r="X3" s="3">
        <f t="shared" si="1"/>
        <v>70779.205971000003</v>
      </c>
      <c r="Y3" s="3">
        <f t="shared" si="1"/>
        <v>72902.582150130009</v>
      </c>
      <c r="Z3" s="3">
        <f t="shared" si="1"/>
        <v>75089.659614633914</v>
      </c>
      <c r="AA3" s="3">
        <f t="shared" si="1"/>
        <v>77342.349403072934</v>
      </c>
      <c r="AB3" s="3">
        <f t="shared" si="1"/>
        <v>79662.619885165128</v>
      </c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t="s">
        <v>20</v>
      </c>
      <c r="B4" s="3">
        <v>28686</v>
      </c>
      <c r="C4" s="3">
        <v>30949</v>
      </c>
      <c r="D4" s="3">
        <v>31994</v>
      </c>
      <c r="E4" s="3">
        <v>33909</v>
      </c>
      <c r="F4" s="3">
        <v>34381</v>
      </c>
      <c r="G4" s="3">
        <v>36230</v>
      </c>
      <c r="H4" s="3">
        <v>37269</v>
      </c>
      <c r="I4" s="3">
        <v>39336</v>
      </c>
      <c r="J4" s="3">
        <v>40982</v>
      </c>
      <c r="K4" s="3">
        <v>43079</v>
      </c>
      <c r="L4" s="3">
        <v>44778</v>
      </c>
      <c r="M4" s="3">
        <v>51510</v>
      </c>
      <c r="N4" t="s">
        <v>72</v>
      </c>
      <c r="O4" s="5">
        <v>0</v>
      </c>
      <c r="S4">
        <f>SUM(B4:E4)</f>
        <v>125538</v>
      </c>
      <c r="T4" s="3">
        <f>SUM(F4:I4)</f>
        <v>147216</v>
      </c>
      <c r="U4" s="3">
        <f>SUM(J4:M4)</f>
        <v>180349</v>
      </c>
      <c r="V4" s="3">
        <f>+U4*1.15</f>
        <v>207401.34999999998</v>
      </c>
      <c r="W4" s="3">
        <f t="shared" ref="W4" si="2">+V4*1.15</f>
        <v>238511.55249999996</v>
      </c>
      <c r="X4" s="3">
        <f>+W4*1.1</f>
        <v>262362.70775</v>
      </c>
      <c r="Y4" s="3">
        <f t="shared" ref="Y4:AB4" si="3">+X4*1.1</f>
        <v>288598.97852500004</v>
      </c>
      <c r="Z4" s="3">
        <f t="shared" si="3"/>
        <v>317458.87637750007</v>
      </c>
      <c r="AA4" s="3">
        <f t="shared" si="3"/>
        <v>349204.76401525008</v>
      </c>
      <c r="AB4" s="3">
        <f t="shared" si="3"/>
        <v>384125.24041677511</v>
      </c>
      <c r="AC4" s="3"/>
      <c r="AD4" s="3"/>
      <c r="AE4" s="3"/>
      <c r="AF4" s="3"/>
      <c r="AG4" s="3"/>
      <c r="AH4" s="3"/>
      <c r="AI4" s="3"/>
      <c r="AJ4" s="3"/>
      <c r="AK4" s="3"/>
    </row>
    <row r="5" spans="1:37" s="1" customFormat="1" x14ac:dyDescent="0.25">
      <c r="A5" s="1" t="s">
        <v>21</v>
      </c>
      <c r="B5" s="4">
        <f>+B3+B4</f>
        <v>45317</v>
      </c>
      <c r="C5" s="4">
        <f>+C3+C4</f>
        <v>51728</v>
      </c>
      <c r="D5" s="4">
        <f t="shared" ref="D5:M5" si="4">+D3+D4</f>
        <v>49360</v>
      </c>
      <c r="E5" s="4">
        <f t="shared" si="4"/>
        <v>51865</v>
      </c>
      <c r="F5" s="4">
        <f t="shared" si="4"/>
        <v>50122</v>
      </c>
      <c r="G5" s="4">
        <f t="shared" si="4"/>
        <v>52747</v>
      </c>
      <c r="H5" s="4">
        <f t="shared" si="4"/>
        <v>52857</v>
      </c>
      <c r="I5" s="4">
        <f t="shared" si="4"/>
        <v>56189</v>
      </c>
      <c r="J5" s="4">
        <f t="shared" si="4"/>
        <v>56517</v>
      </c>
      <c r="K5" s="4">
        <f t="shared" si="4"/>
        <v>62020</v>
      </c>
      <c r="L5" s="4">
        <f t="shared" si="4"/>
        <v>61858</v>
      </c>
      <c r="M5" s="4">
        <f t="shared" si="4"/>
        <v>64727</v>
      </c>
      <c r="N5" t="s">
        <v>60</v>
      </c>
      <c r="O5" s="6">
        <v>0.01</v>
      </c>
      <c r="S5" s="4">
        <f t="shared" ref="S5:U5" si="5">+S3+S4</f>
        <v>198270</v>
      </c>
      <c r="T5" s="4">
        <f t="shared" si="5"/>
        <v>211915</v>
      </c>
      <c r="U5" s="4">
        <f t="shared" si="5"/>
        <v>245122</v>
      </c>
      <c r="V5" s="4">
        <f>+V4+V3</f>
        <v>274117.53999999998</v>
      </c>
      <c r="W5" s="4">
        <f t="shared" ref="W5:AB5" si="6">+W4+W3</f>
        <v>307229.22819999995</v>
      </c>
      <c r="X5" s="4">
        <f t="shared" si="6"/>
        <v>333141.91372100002</v>
      </c>
      <c r="Y5" s="4">
        <f t="shared" si="6"/>
        <v>361501.56067513005</v>
      </c>
      <c r="Z5" s="4">
        <f t="shared" si="6"/>
        <v>392548.53599213401</v>
      </c>
      <c r="AA5" s="4">
        <f t="shared" si="6"/>
        <v>426547.11341832299</v>
      </c>
      <c r="AB5" s="4">
        <f t="shared" si="6"/>
        <v>463787.86030194024</v>
      </c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25">
      <c r="A6" t="s">
        <v>19</v>
      </c>
      <c r="B6" s="3">
        <v>3792</v>
      </c>
      <c r="C6" s="3">
        <v>6331</v>
      </c>
      <c r="D6" s="3">
        <v>4584</v>
      </c>
      <c r="E6" s="3">
        <v>4357</v>
      </c>
      <c r="F6" s="3">
        <v>4302</v>
      </c>
      <c r="G6" s="3">
        <v>5690</v>
      </c>
      <c r="H6" s="3">
        <v>3941</v>
      </c>
      <c r="I6" s="3">
        <v>3871</v>
      </c>
      <c r="J6" s="3">
        <v>3531</v>
      </c>
      <c r="K6" s="3">
        <v>5964</v>
      </c>
      <c r="L6" s="3">
        <v>4339</v>
      </c>
      <c r="M6" s="3">
        <v>1438</v>
      </c>
      <c r="N6" t="s">
        <v>61</v>
      </c>
      <c r="O6" s="5">
        <v>0</v>
      </c>
      <c r="S6">
        <f t="shared" ref="S6:S7" si="7">SUM(B6:E6)</f>
        <v>19064</v>
      </c>
      <c r="T6" s="3">
        <f t="shared" ref="T6:T12" si="8">SUM(F6:I6)</f>
        <v>17804</v>
      </c>
      <c r="U6" s="3">
        <f t="shared" ref="U6:U7" si="9">SUM(J6:M6)</f>
        <v>15272</v>
      </c>
      <c r="V6" s="3">
        <f>+V3*0.25</f>
        <v>16679.047500000001</v>
      </c>
      <c r="W6" s="3">
        <f t="shared" ref="W6:AC6" si="10">+W3*0.25</f>
        <v>17179.418925000002</v>
      </c>
      <c r="X6" s="3">
        <f t="shared" si="10"/>
        <v>17694.801492750001</v>
      </c>
      <c r="Y6" s="3">
        <f t="shared" si="10"/>
        <v>18225.645537532502</v>
      </c>
      <c r="Z6" s="3">
        <f t="shared" si="10"/>
        <v>18772.414903658479</v>
      </c>
      <c r="AA6" s="3">
        <f t="shared" si="10"/>
        <v>19335.587350768234</v>
      </c>
      <c r="AB6" s="3">
        <f t="shared" si="10"/>
        <v>19915.654971291282</v>
      </c>
      <c r="AC6" s="3">
        <f t="shared" si="10"/>
        <v>0</v>
      </c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t="s">
        <v>20</v>
      </c>
      <c r="B7" s="3">
        <v>9854</v>
      </c>
      <c r="C7" s="3">
        <v>10629</v>
      </c>
      <c r="D7" s="3">
        <v>11031</v>
      </c>
      <c r="E7" s="3">
        <v>12072</v>
      </c>
      <c r="F7" s="3">
        <v>11150</v>
      </c>
      <c r="G7" s="3">
        <v>11798</v>
      </c>
      <c r="H7" s="3">
        <v>12187</v>
      </c>
      <c r="I7" s="3">
        <v>12924</v>
      </c>
      <c r="J7" s="3">
        <v>12771</v>
      </c>
      <c r="K7" s="3">
        <v>13659</v>
      </c>
      <c r="L7" s="3">
        <v>14166</v>
      </c>
      <c r="M7" s="3">
        <v>18246</v>
      </c>
      <c r="N7" t="s">
        <v>62</v>
      </c>
      <c r="O7" s="5">
        <v>7.0000000000000007E-2</v>
      </c>
      <c r="S7">
        <f t="shared" si="7"/>
        <v>43586</v>
      </c>
      <c r="T7" s="3">
        <f t="shared" si="8"/>
        <v>48059</v>
      </c>
      <c r="U7" s="3">
        <f t="shared" si="9"/>
        <v>58842</v>
      </c>
      <c r="V7" s="3">
        <f>+V4*0.3</f>
        <v>62220.404999999992</v>
      </c>
      <c r="W7" s="3">
        <f t="shared" ref="W7:AB7" si="11">+W4*0.3</f>
        <v>71553.465749999988</v>
      </c>
      <c r="X7" s="3">
        <f t="shared" si="11"/>
        <v>78708.812324999992</v>
      </c>
      <c r="Y7" s="3">
        <f t="shared" si="11"/>
        <v>86579.69355750001</v>
      </c>
      <c r="Z7" s="3">
        <f t="shared" si="11"/>
        <v>95237.662913250024</v>
      </c>
      <c r="AA7" s="3">
        <f t="shared" si="11"/>
        <v>104761.42920457502</v>
      </c>
      <c r="AB7" s="3">
        <f t="shared" si="11"/>
        <v>115237.57212503253</v>
      </c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t="s">
        <v>22</v>
      </c>
      <c r="B8" s="3">
        <f>+B6+B7</f>
        <v>13646</v>
      </c>
      <c r="C8" s="3">
        <f>+C6+C7</f>
        <v>16960</v>
      </c>
      <c r="D8" s="3">
        <f t="shared" ref="D8:M8" si="12">+D6+D7</f>
        <v>15615</v>
      </c>
      <c r="E8" s="3">
        <f t="shared" si="12"/>
        <v>16429</v>
      </c>
      <c r="F8" s="3">
        <f t="shared" si="12"/>
        <v>15452</v>
      </c>
      <c r="G8" s="3">
        <f t="shared" si="12"/>
        <v>17488</v>
      </c>
      <c r="H8" s="3">
        <f t="shared" si="12"/>
        <v>16128</v>
      </c>
      <c r="I8" s="3">
        <f t="shared" si="12"/>
        <v>16795</v>
      </c>
      <c r="J8" s="3">
        <f t="shared" si="12"/>
        <v>16302</v>
      </c>
      <c r="K8" s="3">
        <f t="shared" si="12"/>
        <v>19623</v>
      </c>
      <c r="L8" s="3">
        <f t="shared" si="12"/>
        <v>18505</v>
      </c>
      <c r="M8" s="3">
        <f t="shared" si="12"/>
        <v>19684</v>
      </c>
      <c r="N8" t="s">
        <v>63</v>
      </c>
      <c r="O8" s="7">
        <f>NPV(O7,S18:BJ18)</f>
        <v>2342452.0919807819</v>
      </c>
      <c r="R8" t="s">
        <v>18</v>
      </c>
      <c r="S8" s="3">
        <f t="shared" ref="S8:V8" si="13">+S6+S7</f>
        <v>62650</v>
      </c>
      <c r="T8" s="3">
        <f t="shared" si="13"/>
        <v>65863</v>
      </c>
      <c r="U8" s="3">
        <f t="shared" si="13"/>
        <v>74114</v>
      </c>
      <c r="V8" s="3">
        <f t="shared" si="13"/>
        <v>78899.452499999985</v>
      </c>
      <c r="W8" s="3">
        <f t="shared" ref="W8" si="14">+W6+W7</f>
        <v>88732.884674999994</v>
      </c>
      <c r="X8" s="3">
        <f t="shared" ref="X8" si="15">+X6+X7</f>
        <v>96403.613817749996</v>
      </c>
      <c r="Y8" s="3">
        <f t="shared" ref="Y8" si="16">+Y6+Y7</f>
        <v>104805.33909503251</v>
      </c>
      <c r="Z8" s="3">
        <f t="shared" ref="Z8" si="17">+Z6+Z7</f>
        <v>114010.07781690851</v>
      </c>
      <c r="AA8" s="3">
        <f t="shared" ref="AA8" si="18">+AA6+AA7</f>
        <v>124097.01655534326</v>
      </c>
      <c r="AB8" s="3">
        <f t="shared" ref="AB8" si="19">+AB6+AB7</f>
        <v>135153.2270963238</v>
      </c>
      <c r="AC8" s="3"/>
      <c r="AD8" s="3"/>
      <c r="AE8" s="3"/>
      <c r="AF8" s="3"/>
      <c r="AG8" s="3"/>
      <c r="AH8" s="3"/>
      <c r="AI8" s="3"/>
      <c r="AJ8" s="3"/>
      <c r="AK8" s="3"/>
    </row>
    <row r="9" spans="1:37" s="1" customFormat="1" x14ac:dyDescent="0.25">
      <c r="A9" s="1" t="s">
        <v>23</v>
      </c>
      <c r="B9" s="4">
        <f>+B5-B8</f>
        <v>31671</v>
      </c>
      <c r="C9" s="4">
        <f>+C5-C8</f>
        <v>34768</v>
      </c>
      <c r="D9" s="4">
        <f t="shared" ref="D9:M9" si="20">+D5-D8</f>
        <v>33745</v>
      </c>
      <c r="E9" s="4">
        <f t="shared" si="20"/>
        <v>35436</v>
      </c>
      <c r="F9" s="4">
        <f t="shared" si="20"/>
        <v>34670</v>
      </c>
      <c r="G9" s="4">
        <f t="shared" si="20"/>
        <v>35259</v>
      </c>
      <c r="H9" s="4">
        <f t="shared" si="20"/>
        <v>36729</v>
      </c>
      <c r="I9" s="4">
        <f t="shared" si="20"/>
        <v>39394</v>
      </c>
      <c r="J9" s="4">
        <f t="shared" si="20"/>
        <v>40215</v>
      </c>
      <c r="K9" s="4">
        <f t="shared" si="20"/>
        <v>42397</v>
      </c>
      <c r="L9" s="4">
        <f t="shared" si="20"/>
        <v>43353</v>
      </c>
      <c r="M9" s="4">
        <f t="shared" si="20"/>
        <v>45043</v>
      </c>
      <c r="N9" t="s">
        <v>54</v>
      </c>
      <c r="O9" s="4">
        <f>+main!L5-main!L6</f>
        <v>38513</v>
      </c>
      <c r="P9" s="1" t="s">
        <v>18</v>
      </c>
      <c r="S9" s="4">
        <f t="shared" ref="S9:U9" si="21">+S5-S8</f>
        <v>135620</v>
      </c>
      <c r="T9" s="4">
        <f t="shared" si="21"/>
        <v>146052</v>
      </c>
      <c r="U9" s="4">
        <f t="shared" si="21"/>
        <v>171008</v>
      </c>
      <c r="V9" s="4">
        <f t="shared" ref="V9" si="22">+V5-V8</f>
        <v>195218.08749999999</v>
      </c>
      <c r="W9" s="4">
        <f t="shared" ref="W9" si="23">+W5-W8</f>
        <v>218496.34352499997</v>
      </c>
      <c r="X9" s="4">
        <f t="shared" ref="X9" si="24">+X5-X8</f>
        <v>236738.29990325001</v>
      </c>
      <c r="Y9" s="4">
        <f t="shared" ref="Y9" si="25">+Y5-Y8</f>
        <v>256696.22158009754</v>
      </c>
      <c r="Z9" s="4">
        <f t="shared" ref="Z9" si="26">+Z5-Z8</f>
        <v>278538.45817522553</v>
      </c>
      <c r="AA9" s="4">
        <f t="shared" ref="AA9" si="27">+AA5-AA8</f>
        <v>302450.0968629797</v>
      </c>
      <c r="AB9" s="4">
        <f t="shared" ref="AB9" si="28">+AB5-AB8</f>
        <v>328634.63320561644</v>
      </c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25">
      <c r="A10" t="s">
        <v>24</v>
      </c>
      <c r="B10" s="3">
        <v>5599</v>
      </c>
      <c r="C10" s="3">
        <v>5758</v>
      </c>
      <c r="D10" s="3">
        <v>6306</v>
      </c>
      <c r="E10" s="3">
        <v>6849</v>
      </c>
      <c r="F10" s="3">
        <v>6628</v>
      </c>
      <c r="G10" s="3">
        <v>6844</v>
      </c>
      <c r="H10" s="3">
        <v>6984</v>
      </c>
      <c r="I10" s="3">
        <v>6739</v>
      </c>
      <c r="J10" s="3">
        <v>6659</v>
      </c>
      <c r="K10" s="3">
        <v>7142</v>
      </c>
      <c r="L10" s="3">
        <v>7653</v>
      </c>
      <c r="M10" s="3">
        <v>8056</v>
      </c>
      <c r="N10" t="s">
        <v>64</v>
      </c>
      <c r="O10" s="3">
        <f>+O8-O9</f>
        <v>2303939.0919807819</v>
      </c>
      <c r="S10">
        <f t="shared" ref="S10:S12" si="29">SUM(B10:E10)</f>
        <v>24512</v>
      </c>
      <c r="T10" s="3">
        <f t="shared" si="8"/>
        <v>27195</v>
      </c>
      <c r="U10" s="3">
        <f t="shared" ref="U10:U12" si="30">SUM(J10:M10)</f>
        <v>29510</v>
      </c>
      <c r="V10" s="3">
        <f>+U10*1.03</f>
        <v>30395.3</v>
      </c>
      <c r="W10" s="3">
        <f t="shared" ref="W10:AB10" si="31">+V10*1.03</f>
        <v>31307.159</v>
      </c>
      <c r="X10" s="3">
        <f t="shared" si="31"/>
        <v>32246.373770000002</v>
      </c>
      <c r="Y10" s="3">
        <f t="shared" si="31"/>
        <v>33213.764983100002</v>
      </c>
      <c r="Z10" s="3">
        <f t="shared" si="31"/>
        <v>34210.177932593004</v>
      </c>
      <c r="AA10" s="3">
        <f t="shared" si="31"/>
        <v>35236.483270570796</v>
      </c>
      <c r="AB10" s="3">
        <f t="shared" si="31"/>
        <v>36293.577768687923</v>
      </c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t="s">
        <v>25</v>
      </c>
      <c r="B11" s="3">
        <v>4547</v>
      </c>
      <c r="C11" s="3">
        <v>5379</v>
      </c>
      <c r="D11" s="3">
        <v>5595</v>
      </c>
      <c r="E11" s="3">
        <v>6304</v>
      </c>
      <c r="F11" s="3">
        <v>5126</v>
      </c>
      <c r="G11" s="3">
        <v>5679</v>
      </c>
      <c r="H11" s="3">
        <v>5750</v>
      </c>
      <c r="I11" s="3">
        <v>6204</v>
      </c>
      <c r="J11" s="3">
        <v>5187</v>
      </c>
      <c r="K11" s="3">
        <v>6246</v>
      </c>
      <c r="L11" s="3">
        <v>6207</v>
      </c>
      <c r="M11" s="3">
        <v>6816</v>
      </c>
      <c r="N11" t="s">
        <v>65</v>
      </c>
      <c r="O11" s="8">
        <f>+O10/main!L3</f>
        <v>309.95926213296673</v>
      </c>
      <c r="S11">
        <f t="shared" si="29"/>
        <v>21825</v>
      </c>
      <c r="T11" s="3">
        <f t="shared" si="8"/>
        <v>22759</v>
      </c>
      <c r="U11" s="3">
        <f t="shared" si="30"/>
        <v>24456</v>
      </c>
      <c r="V11" s="3">
        <f t="shared" ref="V11:AB11" si="32">+U11*1.03</f>
        <v>25189.68</v>
      </c>
      <c r="W11" s="3">
        <f t="shared" si="32"/>
        <v>25945.3704</v>
      </c>
      <c r="X11" s="3">
        <f t="shared" si="32"/>
        <v>26723.731512000002</v>
      </c>
      <c r="Y11" s="3">
        <f t="shared" si="32"/>
        <v>27525.443457360005</v>
      </c>
      <c r="Z11" s="3">
        <f t="shared" si="32"/>
        <v>28351.206761080804</v>
      </c>
      <c r="AA11" s="3">
        <f t="shared" si="32"/>
        <v>29201.742963913228</v>
      </c>
      <c r="AB11" s="3">
        <f t="shared" si="32"/>
        <v>30077.795252830627</v>
      </c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t="s">
        <v>26</v>
      </c>
      <c r="B12" s="3">
        <v>1287</v>
      </c>
      <c r="C12" s="3">
        <v>1384</v>
      </c>
      <c r="D12" s="3">
        <v>1480</v>
      </c>
      <c r="E12" s="3">
        <v>1749</v>
      </c>
      <c r="F12" s="3">
        <v>1398</v>
      </c>
      <c r="G12" s="3">
        <v>2337</v>
      </c>
      <c r="H12" s="3">
        <v>1643</v>
      </c>
      <c r="I12" s="3">
        <v>2197</v>
      </c>
      <c r="J12" s="3">
        <v>1474</v>
      </c>
      <c r="K12" s="3">
        <v>1977</v>
      </c>
      <c r="L12" s="3">
        <v>1912</v>
      </c>
      <c r="M12" s="3">
        <v>2246</v>
      </c>
      <c r="N12" t="s">
        <v>66</v>
      </c>
      <c r="O12" s="3">
        <f>+main!L2</f>
        <v>435</v>
      </c>
      <c r="S12">
        <f t="shared" si="29"/>
        <v>5900</v>
      </c>
      <c r="T12" s="3">
        <f t="shared" si="8"/>
        <v>7575</v>
      </c>
      <c r="U12" s="3">
        <f t="shared" si="30"/>
        <v>7609</v>
      </c>
      <c r="V12" s="3">
        <f t="shared" ref="V12:AB12" si="33">+U12*1.03</f>
        <v>7837.27</v>
      </c>
      <c r="W12" s="3">
        <f t="shared" si="33"/>
        <v>8072.388100000001</v>
      </c>
      <c r="X12" s="3">
        <f t="shared" si="33"/>
        <v>8314.5597430000016</v>
      </c>
      <c r="Y12" s="3">
        <f t="shared" si="33"/>
        <v>8563.9965352900017</v>
      </c>
      <c r="Z12" s="3">
        <f t="shared" si="33"/>
        <v>8820.9164313487017</v>
      </c>
      <c r="AA12" s="3">
        <f t="shared" si="33"/>
        <v>9085.5439242891625</v>
      </c>
      <c r="AB12" s="3">
        <f t="shared" si="33"/>
        <v>9358.1102420178377</v>
      </c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t="s">
        <v>33</v>
      </c>
      <c r="B13" s="3">
        <f>+B10+B11+B12</f>
        <v>11433</v>
      </c>
      <c r="C13" s="3">
        <f>+C10+C11+C12</f>
        <v>12521</v>
      </c>
      <c r="D13" s="3">
        <f t="shared" ref="D13:M13" si="34">+D10+D11+D12</f>
        <v>13381</v>
      </c>
      <c r="E13" s="3">
        <f t="shared" si="34"/>
        <v>14902</v>
      </c>
      <c r="F13" s="3">
        <f t="shared" si="34"/>
        <v>13152</v>
      </c>
      <c r="G13" s="3">
        <f t="shared" si="34"/>
        <v>14860</v>
      </c>
      <c r="H13" s="3">
        <f t="shared" si="34"/>
        <v>14377</v>
      </c>
      <c r="I13" s="3">
        <f t="shared" si="34"/>
        <v>15140</v>
      </c>
      <c r="J13" s="3">
        <f t="shared" si="34"/>
        <v>13320</v>
      </c>
      <c r="K13" s="3">
        <f t="shared" si="34"/>
        <v>15365</v>
      </c>
      <c r="L13" s="3">
        <f t="shared" si="34"/>
        <v>15772</v>
      </c>
      <c r="M13" s="3">
        <f t="shared" si="34"/>
        <v>17118</v>
      </c>
      <c r="N13" t="s">
        <v>67</v>
      </c>
      <c r="O13" s="5">
        <f>+O11/O12-1</f>
        <v>-0.28744997210812251</v>
      </c>
      <c r="S13" s="3">
        <f t="shared" ref="S13:V13" si="35">+S10+S11+S12</f>
        <v>52237</v>
      </c>
      <c r="T13" s="3">
        <f t="shared" si="35"/>
        <v>57529</v>
      </c>
      <c r="U13" s="3">
        <f t="shared" si="35"/>
        <v>61575</v>
      </c>
      <c r="V13" s="3">
        <f t="shared" si="35"/>
        <v>63422.25</v>
      </c>
      <c r="W13" s="3">
        <f t="shared" ref="W13" si="36">+W10+W11+W12</f>
        <v>65324.917500000003</v>
      </c>
      <c r="X13" s="3">
        <f t="shared" ref="X13" si="37">+X10+X11+X12</f>
        <v>67284.665025000009</v>
      </c>
      <c r="Y13" s="3">
        <f t="shared" ref="Y13" si="38">+Y10+Y11+Y12</f>
        <v>69303.204975750006</v>
      </c>
      <c r="Z13" s="3">
        <f t="shared" ref="Z13" si="39">+Z10+Z11+Z12</f>
        <v>71382.30112502251</v>
      </c>
      <c r="AA13" s="3">
        <f t="shared" ref="AA13" si="40">+AA10+AA11+AA12</f>
        <v>73523.770158773186</v>
      </c>
      <c r="AB13" s="3">
        <f t="shared" ref="AB13" si="41">+AB10+AB11+AB12</f>
        <v>75729.483263536385</v>
      </c>
      <c r="AC13" s="3"/>
      <c r="AD13" s="3"/>
      <c r="AE13" s="3"/>
      <c r="AF13" s="3"/>
      <c r="AG13" s="3"/>
      <c r="AH13" s="3"/>
      <c r="AI13" s="3"/>
      <c r="AJ13" s="3"/>
      <c r="AK13" s="3"/>
    </row>
    <row r="14" spans="1:37" s="1" customFormat="1" x14ac:dyDescent="0.25">
      <c r="A14" s="1" t="s">
        <v>27</v>
      </c>
      <c r="B14" s="4">
        <f>+B9-B13</f>
        <v>20238</v>
      </c>
      <c r="C14" s="4">
        <f>+C9-C13</f>
        <v>22247</v>
      </c>
      <c r="D14" s="4">
        <f t="shared" ref="D14:M14" si="42">+D9-D13</f>
        <v>20364</v>
      </c>
      <c r="E14" s="4">
        <f t="shared" si="42"/>
        <v>20534</v>
      </c>
      <c r="F14" s="4">
        <f t="shared" si="42"/>
        <v>21518</v>
      </c>
      <c r="G14" s="4">
        <f t="shared" si="42"/>
        <v>20399</v>
      </c>
      <c r="H14" s="4">
        <f t="shared" si="42"/>
        <v>22352</v>
      </c>
      <c r="I14" s="4">
        <f t="shared" si="42"/>
        <v>24254</v>
      </c>
      <c r="J14" s="4">
        <f t="shared" si="42"/>
        <v>26895</v>
      </c>
      <c r="K14" s="4">
        <f t="shared" si="42"/>
        <v>27032</v>
      </c>
      <c r="L14" s="4">
        <f t="shared" si="42"/>
        <v>27581</v>
      </c>
      <c r="M14" s="4">
        <f t="shared" si="42"/>
        <v>27925</v>
      </c>
      <c r="O14" s="1" t="s">
        <v>18</v>
      </c>
      <c r="S14" s="4">
        <f t="shared" ref="S14:V14" si="43">+S9-S13</f>
        <v>83383</v>
      </c>
      <c r="T14" s="4">
        <f t="shared" si="43"/>
        <v>88523</v>
      </c>
      <c r="U14" s="4">
        <f t="shared" si="43"/>
        <v>109433</v>
      </c>
      <c r="V14" s="4">
        <f t="shared" si="43"/>
        <v>131795.83749999999</v>
      </c>
      <c r="W14" s="4">
        <f t="shared" ref="W14" si="44">+W9-W13</f>
        <v>153171.42602499996</v>
      </c>
      <c r="X14" s="4">
        <f t="shared" ref="X14" si="45">+X9-X13</f>
        <v>169453.63487825001</v>
      </c>
      <c r="Y14" s="4">
        <f t="shared" ref="Y14" si="46">+Y9-Y13</f>
        <v>187393.01660434753</v>
      </c>
      <c r="Z14" s="4">
        <f t="shared" ref="Z14" si="47">+Z9-Z13</f>
        <v>207156.15705020301</v>
      </c>
      <c r="AA14" s="4">
        <f t="shared" ref="AA14" si="48">+AA9-AA13</f>
        <v>228926.32670420653</v>
      </c>
      <c r="AB14" s="4">
        <f t="shared" ref="AB14" si="49">+AB9-AB13</f>
        <v>252905.14994208005</v>
      </c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25">
      <c r="A15" t="s">
        <v>28</v>
      </c>
      <c r="B15" s="3">
        <v>286</v>
      </c>
      <c r="C15" s="3">
        <v>268</v>
      </c>
      <c r="D15" s="3">
        <v>-174</v>
      </c>
      <c r="E15" s="3">
        <v>-47</v>
      </c>
      <c r="F15" s="3">
        <v>54</v>
      </c>
      <c r="G15" s="3">
        <v>-60</v>
      </c>
      <c r="H15" s="3">
        <v>321</v>
      </c>
      <c r="I15" s="3">
        <v>473</v>
      </c>
      <c r="J15" s="3">
        <v>389</v>
      </c>
      <c r="K15" s="3">
        <v>-506</v>
      </c>
      <c r="L15" s="3">
        <v>-854</v>
      </c>
      <c r="M15" s="3">
        <v>-675</v>
      </c>
      <c r="P15" t="s">
        <v>18</v>
      </c>
      <c r="Q15" t="s">
        <v>18</v>
      </c>
      <c r="S15">
        <f t="shared" ref="S15:S17" si="50">SUM(B15:E15)</f>
        <v>333</v>
      </c>
      <c r="T15" s="3">
        <f t="shared" ref="T15:T17" si="51">SUM(F15:I15)</f>
        <v>788</v>
      </c>
      <c r="U15" s="3">
        <f t="shared" ref="U15:U17" si="52">SUM(J15:M15)</f>
        <v>-1646</v>
      </c>
      <c r="V15" s="3">
        <f>+U37*$O$5</f>
        <v>385.13</v>
      </c>
      <c r="W15" s="3">
        <f t="shared" ref="W15:AB15" si="53">+V37*$O$5</f>
        <v>1495.4501269999998</v>
      </c>
      <c r="X15" s="3">
        <f t="shared" si="53"/>
        <v>2794.6518866767997</v>
      </c>
      <c r="Y15" s="3">
        <f t="shared" si="53"/>
        <v>4241.5374955021844</v>
      </c>
      <c r="Z15" s="3">
        <f t="shared" si="53"/>
        <v>5851.2677499409228</v>
      </c>
      <c r="AA15" s="3">
        <f t="shared" si="53"/>
        <v>7640.5301182621324</v>
      </c>
      <c r="AB15" s="3">
        <f t="shared" si="53"/>
        <v>9627.6917155708688</v>
      </c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t="s">
        <v>29</v>
      </c>
      <c r="B16" s="3">
        <f>+B14+B15</f>
        <v>20524</v>
      </c>
      <c r="C16" s="3">
        <f>+C14+C15</f>
        <v>22515</v>
      </c>
      <c r="D16" s="3">
        <f t="shared" ref="D16:M16" si="54">+D14+D15</f>
        <v>20190</v>
      </c>
      <c r="E16" s="3">
        <f t="shared" si="54"/>
        <v>20487</v>
      </c>
      <c r="F16" s="3">
        <f t="shared" si="54"/>
        <v>21572</v>
      </c>
      <c r="G16" s="3">
        <f t="shared" si="54"/>
        <v>20339</v>
      </c>
      <c r="H16" s="3">
        <f t="shared" si="54"/>
        <v>22673</v>
      </c>
      <c r="I16" s="3">
        <f t="shared" si="54"/>
        <v>24727</v>
      </c>
      <c r="J16" s="3">
        <f t="shared" si="54"/>
        <v>27284</v>
      </c>
      <c r="K16" s="3">
        <f t="shared" si="54"/>
        <v>26526</v>
      </c>
      <c r="L16" s="3">
        <f t="shared" si="54"/>
        <v>26727</v>
      </c>
      <c r="M16" s="3">
        <f t="shared" si="54"/>
        <v>27250</v>
      </c>
      <c r="S16" s="3">
        <f t="shared" ref="S16:V16" si="55">+S14+S15</f>
        <v>83716</v>
      </c>
      <c r="T16" s="3">
        <f t="shared" si="55"/>
        <v>89311</v>
      </c>
      <c r="U16" s="3">
        <f t="shared" si="55"/>
        <v>107787</v>
      </c>
      <c r="V16" s="3">
        <f t="shared" si="55"/>
        <v>132180.9675</v>
      </c>
      <c r="W16" s="3">
        <f t="shared" ref="W16" si="56">+W14+W15</f>
        <v>154666.87615199995</v>
      </c>
      <c r="X16" s="3">
        <f t="shared" ref="X16" si="57">+X14+X15</f>
        <v>172248.2867649268</v>
      </c>
      <c r="Y16" s="3">
        <f t="shared" ref="Y16" si="58">+Y14+Y15</f>
        <v>191634.55409984972</v>
      </c>
      <c r="Z16" s="3">
        <f t="shared" ref="Z16" si="59">+Z14+Z15</f>
        <v>213007.42480014393</v>
      </c>
      <c r="AA16" s="3">
        <f t="shared" ref="AA16" si="60">+AA14+AA15</f>
        <v>236566.85682246866</v>
      </c>
      <c r="AB16" s="3">
        <f t="shared" ref="AB16" si="61">+AB14+AB15</f>
        <v>262532.84165765095</v>
      </c>
      <c r="AC16" s="3"/>
      <c r="AD16" s="3"/>
      <c r="AE16" s="3"/>
      <c r="AF16" s="3"/>
      <c r="AG16" s="3"/>
      <c r="AH16" s="3"/>
      <c r="AI16" s="3"/>
      <c r="AJ16" s="3"/>
      <c r="AK16" s="3"/>
    </row>
    <row r="17" spans="1:62" x14ac:dyDescent="0.25">
      <c r="A17" t="s">
        <v>30</v>
      </c>
      <c r="B17" s="3">
        <v>19</v>
      </c>
      <c r="C17" s="3">
        <v>3750</v>
      </c>
      <c r="D17" s="3">
        <v>3462</v>
      </c>
      <c r="E17" s="3">
        <v>3747</v>
      </c>
      <c r="F17" s="3">
        <v>4016</v>
      </c>
      <c r="G17" s="3">
        <v>3914</v>
      </c>
      <c r="H17" s="3">
        <v>4374</v>
      </c>
      <c r="I17" s="3">
        <v>4646</v>
      </c>
      <c r="J17" s="3">
        <v>4993</v>
      </c>
      <c r="K17" s="3">
        <v>4656</v>
      </c>
      <c r="L17" s="3">
        <v>4788</v>
      </c>
      <c r="M17" s="3">
        <v>5214</v>
      </c>
      <c r="S17">
        <f t="shared" si="50"/>
        <v>10978</v>
      </c>
      <c r="T17" s="3">
        <f t="shared" si="51"/>
        <v>16950</v>
      </c>
      <c r="U17" s="3">
        <f t="shared" si="52"/>
        <v>19651</v>
      </c>
      <c r="V17" s="3">
        <f>+V16*0.16</f>
        <v>21148.9548</v>
      </c>
      <c r="W17" s="3">
        <f t="shared" ref="W17:AB17" si="62">+W16*0.16</f>
        <v>24746.700184319994</v>
      </c>
      <c r="X17" s="3">
        <f t="shared" si="62"/>
        <v>27559.725882388288</v>
      </c>
      <c r="Y17" s="3">
        <f t="shared" si="62"/>
        <v>30661.528655975955</v>
      </c>
      <c r="Z17" s="3">
        <f t="shared" si="62"/>
        <v>34081.187968023027</v>
      </c>
      <c r="AA17" s="3">
        <f t="shared" si="62"/>
        <v>37850.697091594986</v>
      </c>
      <c r="AB17" s="3">
        <f t="shared" si="62"/>
        <v>42005.254665224151</v>
      </c>
      <c r="AC17" s="3"/>
      <c r="AD17" s="3"/>
      <c r="AE17" s="3"/>
      <c r="AF17" s="3"/>
      <c r="AG17" s="3"/>
      <c r="AH17" s="3"/>
      <c r="AI17" s="3"/>
      <c r="AJ17" s="3"/>
      <c r="AK17" s="3"/>
    </row>
    <row r="18" spans="1:62" s="1" customFormat="1" x14ac:dyDescent="0.25">
      <c r="A18" s="1" t="s">
        <v>31</v>
      </c>
      <c r="B18" s="4">
        <f>+B16-B17</f>
        <v>20505</v>
      </c>
      <c r="C18" s="4">
        <f>+C16-C17</f>
        <v>18765</v>
      </c>
      <c r="D18" s="4">
        <f t="shared" ref="D18:M18" si="63">+D16-D17</f>
        <v>16728</v>
      </c>
      <c r="E18" s="4">
        <f t="shared" si="63"/>
        <v>16740</v>
      </c>
      <c r="F18" s="4">
        <f t="shared" si="63"/>
        <v>17556</v>
      </c>
      <c r="G18" s="4">
        <f t="shared" si="63"/>
        <v>16425</v>
      </c>
      <c r="H18" s="4">
        <f t="shared" si="63"/>
        <v>18299</v>
      </c>
      <c r="I18" s="4">
        <f t="shared" si="63"/>
        <v>20081</v>
      </c>
      <c r="J18" s="4">
        <f t="shared" si="63"/>
        <v>22291</v>
      </c>
      <c r="K18" s="4">
        <f t="shared" si="63"/>
        <v>21870</v>
      </c>
      <c r="L18" s="4">
        <f t="shared" si="63"/>
        <v>21939</v>
      </c>
      <c r="M18" s="4">
        <f t="shared" si="63"/>
        <v>22036</v>
      </c>
      <c r="S18" s="4">
        <f t="shared" ref="S18:U18" si="64">+S16-S17</f>
        <v>72738</v>
      </c>
      <c r="T18" s="4">
        <f t="shared" si="64"/>
        <v>72361</v>
      </c>
      <c r="U18" s="4">
        <f t="shared" si="64"/>
        <v>88136</v>
      </c>
      <c r="V18" s="4">
        <f t="shared" ref="V18" si="65">+V16-V17</f>
        <v>111032.01269999999</v>
      </c>
      <c r="W18" s="4">
        <f t="shared" ref="W18" si="66">+W16-W17</f>
        <v>129920.17596767996</v>
      </c>
      <c r="X18" s="4">
        <f t="shared" ref="X18" si="67">+X16-X17</f>
        <v>144688.5608825385</v>
      </c>
      <c r="Y18" s="4">
        <f t="shared" ref="Y18" si="68">+Y16-Y17</f>
        <v>160973.02544387378</v>
      </c>
      <c r="Z18" s="4">
        <f t="shared" ref="Z18" si="69">+Z16-Z17</f>
        <v>178926.23683212089</v>
      </c>
      <c r="AA18" s="4">
        <f t="shared" ref="AA18" si="70">+AA16-AA17</f>
        <v>198716.15973087368</v>
      </c>
      <c r="AB18" s="4">
        <f t="shared" ref="AB18" si="71">+AB16-AB17</f>
        <v>220527.5869924268</v>
      </c>
      <c r="AC18" s="4">
        <f>+AB18*(1-$O$4)</f>
        <v>220527.5869924268</v>
      </c>
      <c r="AD18" s="4">
        <f t="shared" ref="AD18:BJ18" si="72">+AC18*(1-$O$4)</f>
        <v>220527.5869924268</v>
      </c>
      <c r="AE18" s="4">
        <f t="shared" si="72"/>
        <v>220527.5869924268</v>
      </c>
      <c r="AF18" s="4">
        <f t="shared" si="72"/>
        <v>220527.5869924268</v>
      </c>
      <c r="AG18" s="4">
        <f t="shared" si="72"/>
        <v>220527.5869924268</v>
      </c>
      <c r="AH18" s="4">
        <f t="shared" si="72"/>
        <v>220527.5869924268</v>
      </c>
      <c r="AI18" s="4">
        <f t="shared" si="72"/>
        <v>220527.5869924268</v>
      </c>
      <c r="AJ18" s="4">
        <f t="shared" si="72"/>
        <v>220527.5869924268</v>
      </c>
      <c r="AK18" s="4">
        <f t="shared" si="72"/>
        <v>220527.5869924268</v>
      </c>
      <c r="AL18" s="4">
        <f t="shared" si="72"/>
        <v>220527.5869924268</v>
      </c>
      <c r="AM18" s="4">
        <f t="shared" si="72"/>
        <v>220527.5869924268</v>
      </c>
      <c r="AN18" s="4">
        <f t="shared" si="72"/>
        <v>220527.5869924268</v>
      </c>
      <c r="AO18" s="4">
        <f t="shared" si="72"/>
        <v>220527.5869924268</v>
      </c>
      <c r="AP18" s="4">
        <f t="shared" si="72"/>
        <v>220527.5869924268</v>
      </c>
      <c r="AQ18" s="4">
        <f t="shared" si="72"/>
        <v>220527.5869924268</v>
      </c>
      <c r="AR18" s="4">
        <f t="shared" si="72"/>
        <v>220527.5869924268</v>
      </c>
      <c r="AS18" s="4">
        <f t="shared" si="72"/>
        <v>220527.5869924268</v>
      </c>
      <c r="AT18" s="4">
        <f t="shared" si="72"/>
        <v>220527.5869924268</v>
      </c>
      <c r="AU18" s="4">
        <f t="shared" si="72"/>
        <v>220527.5869924268</v>
      </c>
      <c r="AV18" s="4">
        <f t="shared" si="72"/>
        <v>220527.5869924268</v>
      </c>
      <c r="AW18" s="4">
        <f t="shared" si="72"/>
        <v>220527.5869924268</v>
      </c>
      <c r="AX18" s="4">
        <f t="shared" si="72"/>
        <v>220527.5869924268</v>
      </c>
      <c r="AY18" s="4">
        <f t="shared" si="72"/>
        <v>220527.5869924268</v>
      </c>
      <c r="AZ18" s="4">
        <f t="shared" si="72"/>
        <v>220527.5869924268</v>
      </c>
      <c r="BA18" s="4">
        <f t="shared" si="72"/>
        <v>220527.5869924268</v>
      </c>
      <c r="BB18" s="4">
        <f t="shared" si="72"/>
        <v>220527.5869924268</v>
      </c>
      <c r="BC18" s="4">
        <f t="shared" si="72"/>
        <v>220527.5869924268</v>
      </c>
      <c r="BD18" s="4">
        <f t="shared" si="72"/>
        <v>220527.5869924268</v>
      </c>
      <c r="BE18" s="4">
        <f t="shared" si="72"/>
        <v>220527.5869924268</v>
      </c>
      <c r="BF18" s="4">
        <f t="shared" si="72"/>
        <v>220527.5869924268</v>
      </c>
      <c r="BG18" s="4">
        <f t="shared" si="72"/>
        <v>220527.5869924268</v>
      </c>
      <c r="BH18" s="4">
        <f t="shared" si="72"/>
        <v>220527.5869924268</v>
      </c>
      <c r="BI18" s="4">
        <f t="shared" si="72"/>
        <v>220527.5869924268</v>
      </c>
      <c r="BJ18" s="4">
        <f t="shared" si="72"/>
        <v>220527.5869924268</v>
      </c>
    </row>
    <row r="19" spans="1:62" x14ac:dyDescent="0.25">
      <c r="A19" t="s">
        <v>32</v>
      </c>
      <c r="B19" s="3">
        <v>2.73</v>
      </c>
      <c r="C19" s="3">
        <v>2.5</v>
      </c>
      <c r="D19" s="3">
        <v>2.23</v>
      </c>
      <c r="E19" s="3">
        <v>2.2400000000000002</v>
      </c>
      <c r="F19" s="3">
        <v>2.35</v>
      </c>
      <c r="G19" s="3">
        <v>2.2000000000000002</v>
      </c>
      <c r="H19" s="3">
        <v>2.5</v>
      </c>
      <c r="I19" s="3">
        <v>2.7</v>
      </c>
      <c r="J19" s="3">
        <v>3</v>
      </c>
      <c r="K19" s="3">
        <v>2.94</v>
      </c>
      <c r="L19" s="3">
        <v>2.95</v>
      </c>
      <c r="M19" s="3">
        <v>2.95</v>
      </c>
      <c r="S19" s="3">
        <v>9.6999999999999993</v>
      </c>
      <c r="T19" s="3">
        <v>9.7200000000000006</v>
      </c>
      <c r="U19" s="3">
        <v>11.86</v>
      </c>
      <c r="V19" s="3">
        <f>+U19</f>
        <v>11.86</v>
      </c>
      <c r="W19" s="3">
        <f t="shared" ref="W19:AK19" si="73">+V19</f>
        <v>11.86</v>
      </c>
      <c r="X19" s="3">
        <f t="shared" si="73"/>
        <v>11.86</v>
      </c>
      <c r="Y19" s="3">
        <f t="shared" si="73"/>
        <v>11.86</v>
      </c>
      <c r="Z19" s="3">
        <f t="shared" si="73"/>
        <v>11.86</v>
      </c>
      <c r="AA19" s="3">
        <f t="shared" si="73"/>
        <v>11.86</v>
      </c>
      <c r="AB19" s="3">
        <f t="shared" si="73"/>
        <v>11.86</v>
      </c>
      <c r="AC19" s="3">
        <f t="shared" si="73"/>
        <v>11.86</v>
      </c>
      <c r="AD19" s="3">
        <f t="shared" si="73"/>
        <v>11.86</v>
      </c>
      <c r="AE19" s="3">
        <f t="shared" si="73"/>
        <v>11.86</v>
      </c>
      <c r="AF19" s="3">
        <f t="shared" si="73"/>
        <v>11.86</v>
      </c>
      <c r="AG19" s="3">
        <f t="shared" si="73"/>
        <v>11.86</v>
      </c>
      <c r="AH19" s="3">
        <f t="shared" si="73"/>
        <v>11.86</v>
      </c>
      <c r="AI19" s="3">
        <f t="shared" si="73"/>
        <v>11.86</v>
      </c>
      <c r="AJ19" s="3">
        <f t="shared" si="73"/>
        <v>11.86</v>
      </c>
      <c r="AK19" s="3">
        <f t="shared" si="73"/>
        <v>11.86</v>
      </c>
      <c r="AL19" s="3" t="s">
        <v>18</v>
      </c>
    </row>
    <row r="20" spans="1:62" x14ac:dyDescent="0.25">
      <c r="A20" t="s">
        <v>18</v>
      </c>
      <c r="B20" s="3" t="s">
        <v>18</v>
      </c>
      <c r="C20" s="3" t="s">
        <v>18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62" x14ac:dyDescent="0.25">
      <c r="A21" t="s">
        <v>34</v>
      </c>
      <c r="G21" s="5">
        <f t="shared" ref="G21:L21" si="74">+G5/C5-1</f>
        <v>1.9699195793380753E-2</v>
      </c>
      <c r="H21" s="5">
        <f t="shared" si="74"/>
        <v>7.0846839546191198E-2</v>
      </c>
      <c r="I21" s="5">
        <f t="shared" si="74"/>
        <v>8.3370288248336921E-2</v>
      </c>
      <c r="J21" s="5">
        <f t="shared" si="74"/>
        <v>0.12758868361198683</v>
      </c>
      <c r="K21" s="5">
        <f t="shared" si="74"/>
        <v>0.17580146738203117</v>
      </c>
      <c r="L21" s="5">
        <f t="shared" si="74"/>
        <v>0.17028964943148495</v>
      </c>
      <c r="M21" s="5">
        <f>+M5/I5-1</f>
        <v>0.15195144957198026</v>
      </c>
    </row>
    <row r="22" spans="1:62" x14ac:dyDescent="0.25">
      <c r="A22" t="s">
        <v>35</v>
      </c>
      <c r="F22" t="s">
        <v>18</v>
      </c>
      <c r="G22" s="5">
        <f t="shared" ref="G22:L22" si="75">+G18/C18-1</f>
        <v>-0.12470023980815348</v>
      </c>
      <c r="H22" s="5">
        <f t="shared" si="75"/>
        <v>9.3914395026303277E-2</v>
      </c>
      <c r="I22" s="5">
        <f t="shared" si="75"/>
        <v>0.19958183990442047</v>
      </c>
      <c r="J22" s="5">
        <f t="shared" si="75"/>
        <v>0.2697083618136249</v>
      </c>
      <c r="K22" s="5">
        <f t="shared" si="75"/>
        <v>0.33150684931506857</v>
      </c>
      <c r="L22" s="5">
        <f t="shared" si="75"/>
        <v>0.19891797365976283</v>
      </c>
      <c r="M22" s="5">
        <f>+M18/I18-1</f>
        <v>9.7355709377022981E-2</v>
      </c>
    </row>
    <row r="23" spans="1:62" x14ac:dyDescent="0.25">
      <c r="C23" t="s">
        <v>18</v>
      </c>
      <c r="G23" s="5"/>
      <c r="H23" s="5"/>
      <c r="I23" s="5"/>
      <c r="J23" s="5"/>
      <c r="K23" s="5"/>
      <c r="L23" s="5"/>
      <c r="M23" s="5"/>
    </row>
    <row r="24" spans="1:62" x14ac:dyDescent="0.25">
      <c r="G24" s="5"/>
      <c r="H24" s="5"/>
      <c r="I24" s="5"/>
      <c r="J24" s="5"/>
      <c r="K24" s="5"/>
      <c r="L24" s="5"/>
      <c r="M24" s="5"/>
    </row>
    <row r="25" spans="1:62" x14ac:dyDescent="0.25">
      <c r="A25" t="s">
        <v>69</v>
      </c>
      <c r="B25" s="5">
        <f t="shared" ref="B25:L25" si="76">+B3/B5</f>
        <v>0.36699251936359423</v>
      </c>
      <c r="C25" s="5">
        <f t="shared" si="76"/>
        <v>0.40169733993195172</v>
      </c>
      <c r="D25" s="5">
        <f t="shared" si="76"/>
        <v>0.3518233387358185</v>
      </c>
      <c r="E25" s="5">
        <f t="shared" si="76"/>
        <v>0.34620649763809891</v>
      </c>
      <c r="F25" s="5">
        <f t="shared" si="76"/>
        <v>0.3140537089501616</v>
      </c>
      <c r="G25" s="5">
        <f t="shared" si="76"/>
        <v>0.31313629211139971</v>
      </c>
      <c r="H25" s="5">
        <f t="shared" si="76"/>
        <v>0.29490890515920315</v>
      </c>
      <c r="I25" s="5">
        <f t="shared" si="76"/>
        <v>0.29993415081243657</v>
      </c>
      <c r="J25" s="5">
        <f t="shared" si="76"/>
        <v>0.27487304704779092</v>
      </c>
      <c r="K25" s="5">
        <f t="shared" si="76"/>
        <v>0.30540148339245404</v>
      </c>
      <c r="L25" s="5">
        <f t="shared" si="76"/>
        <v>0.27611626628730318</v>
      </c>
      <c r="M25" s="5">
        <f>+M3/M5</f>
        <v>0.20419608509586418</v>
      </c>
    </row>
    <row r="26" spans="1:62" x14ac:dyDescent="0.25">
      <c r="A26" t="s">
        <v>68</v>
      </c>
      <c r="B26" s="5">
        <f t="shared" ref="B26:L26" si="77">+B4/B5</f>
        <v>0.63300748063640577</v>
      </c>
      <c r="C26" s="5">
        <f t="shared" si="77"/>
        <v>0.59830266006804822</v>
      </c>
      <c r="D26" s="5">
        <f t="shared" si="77"/>
        <v>0.6481766612641815</v>
      </c>
      <c r="E26" s="5">
        <f t="shared" si="77"/>
        <v>0.65379350236190104</v>
      </c>
      <c r="F26" s="5">
        <f t="shared" si="77"/>
        <v>0.6859462910498384</v>
      </c>
      <c r="G26" s="5">
        <f t="shared" si="77"/>
        <v>0.68686370788860029</v>
      </c>
      <c r="H26" s="5">
        <f t="shared" si="77"/>
        <v>0.70509109484079691</v>
      </c>
      <c r="I26" s="5">
        <f t="shared" si="77"/>
        <v>0.70006584918756343</v>
      </c>
      <c r="J26" s="5">
        <f t="shared" si="77"/>
        <v>0.72512695295220908</v>
      </c>
      <c r="K26" s="5">
        <f t="shared" si="77"/>
        <v>0.6945985166075459</v>
      </c>
      <c r="L26" s="5">
        <f t="shared" si="77"/>
        <v>0.72388373371269688</v>
      </c>
      <c r="M26" s="5">
        <f>+M4/M5</f>
        <v>0.79580391490413582</v>
      </c>
      <c r="O26" t="s">
        <v>18</v>
      </c>
    </row>
    <row r="27" spans="1:62" x14ac:dyDescent="0.25">
      <c r="A27" t="s">
        <v>70</v>
      </c>
      <c r="B27" s="5">
        <f t="shared" ref="B27:L27" si="78">+B6/B8</f>
        <v>0.27788362890224244</v>
      </c>
      <c r="C27" s="5">
        <f t="shared" si="78"/>
        <v>0.37329009433962262</v>
      </c>
      <c r="D27" s="5">
        <f t="shared" si="78"/>
        <v>0.29356388088376562</v>
      </c>
      <c r="E27" s="5">
        <f t="shared" si="78"/>
        <v>0.26520177734493883</v>
      </c>
      <c r="F27" s="5">
        <f t="shared" si="78"/>
        <v>0.27841056173958062</v>
      </c>
      <c r="G27" s="5">
        <f t="shared" si="78"/>
        <v>0.32536596523330286</v>
      </c>
      <c r="H27" s="5">
        <f t="shared" si="78"/>
        <v>0.2443576388888889</v>
      </c>
      <c r="I27" s="5">
        <f t="shared" si="78"/>
        <v>0.23048526347127121</v>
      </c>
      <c r="J27" s="5">
        <f t="shared" si="78"/>
        <v>0.2165991902834008</v>
      </c>
      <c r="K27" s="5">
        <f t="shared" si="78"/>
        <v>0.303929062834429</v>
      </c>
      <c r="L27" s="5">
        <f t="shared" si="78"/>
        <v>0.23447716833288301</v>
      </c>
      <c r="M27" s="5">
        <f>+M6/M8</f>
        <v>7.3054257264783581E-2</v>
      </c>
    </row>
    <row r="28" spans="1:62" x14ac:dyDescent="0.25">
      <c r="A28" t="s">
        <v>71</v>
      </c>
      <c r="B28" s="5">
        <f t="shared" ref="B28:L28" si="79">+B7/B8</f>
        <v>0.72211637109775761</v>
      </c>
      <c r="C28" s="5">
        <f t="shared" si="79"/>
        <v>0.62670990566037732</v>
      </c>
      <c r="D28" s="5">
        <f t="shared" si="79"/>
        <v>0.70643611911623438</v>
      </c>
      <c r="E28" s="5">
        <f t="shared" si="79"/>
        <v>0.73479822265506112</v>
      </c>
      <c r="F28" s="5">
        <f t="shared" si="79"/>
        <v>0.72158943826041932</v>
      </c>
      <c r="G28" s="5">
        <f t="shared" si="79"/>
        <v>0.67463403476669714</v>
      </c>
      <c r="H28" s="5">
        <f t="shared" si="79"/>
        <v>0.75564236111111116</v>
      </c>
      <c r="I28" s="5">
        <f t="shared" si="79"/>
        <v>0.76951473652872882</v>
      </c>
      <c r="J28" s="5">
        <f t="shared" si="79"/>
        <v>0.7834008097165992</v>
      </c>
      <c r="K28" s="5">
        <f t="shared" si="79"/>
        <v>0.696070937165571</v>
      </c>
      <c r="L28" s="5">
        <f t="shared" si="79"/>
        <v>0.76552283166711699</v>
      </c>
      <c r="M28" s="5">
        <f>+M7/M8</f>
        <v>0.92694574273521646</v>
      </c>
      <c r="N28" t="s">
        <v>18</v>
      </c>
    </row>
    <row r="29" spans="1:62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62" x14ac:dyDescent="0.25">
      <c r="A30" t="s">
        <v>36</v>
      </c>
      <c r="B30" s="5">
        <f t="shared" ref="B30" si="80">+B9/B5</f>
        <v>0.6988768012004325</v>
      </c>
      <c r="C30" s="5">
        <f t="shared" ref="C30:L30" si="81">+C9/C5</f>
        <v>0.67213114754098358</v>
      </c>
      <c r="D30" s="5">
        <f t="shared" si="81"/>
        <v>0.68365072933549431</v>
      </c>
      <c r="E30" s="5">
        <f t="shared" si="81"/>
        <v>0.68323532247180174</v>
      </c>
      <c r="F30" s="5">
        <f t="shared" si="81"/>
        <v>0.69171222217788597</v>
      </c>
      <c r="G30" s="5">
        <f t="shared" si="81"/>
        <v>0.66845507801391546</v>
      </c>
      <c r="H30" s="5">
        <f t="shared" si="81"/>
        <v>0.69487485101311086</v>
      </c>
      <c r="I30" s="5">
        <f t="shared" si="81"/>
        <v>0.70109807969531401</v>
      </c>
      <c r="J30" s="5">
        <f t="shared" si="81"/>
        <v>0.71155581506449384</v>
      </c>
      <c r="K30" s="5">
        <f t="shared" si="81"/>
        <v>0.68360206385037081</v>
      </c>
      <c r="L30" s="5">
        <f t="shared" si="81"/>
        <v>0.70084710142584628</v>
      </c>
      <c r="M30" s="5">
        <f>+M9/M5</f>
        <v>0.69589197707293715</v>
      </c>
    </row>
    <row r="31" spans="1:62" x14ac:dyDescent="0.25">
      <c r="A31" t="s">
        <v>37</v>
      </c>
      <c r="B31" s="5">
        <f t="shared" ref="B31" si="82">+B10/B5</f>
        <v>0.12355186795242404</v>
      </c>
      <c r="C31" s="5">
        <f t="shared" ref="C31:L31" si="83">+C10/C5</f>
        <v>0.11131302196102691</v>
      </c>
      <c r="D31" s="5">
        <f t="shared" si="83"/>
        <v>0.12775526742301457</v>
      </c>
      <c r="E31" s="5">
        <f t="shared" si="83"/>
        <v>0.13205437192711847</v>
      </c>
      <c r="F31" s="5">
        <f t="shared" si="83"/>
        <v>0.13223734088823272</v>
      </c>
      <c r="G31" s="5">
        <f t="shared" si="83"/>
        <v>0.1297514550590555</v>
      </c>
      <c r="H31" s="5">
        <f t="shared" si="83"/>
        <v>0.13213008683807254</v>
      </c>
      <c r="I31" s="5">
        <f t="shared" si="83"/>
        <v>0.11993450675399099</v>
      </c>
      <c r="J31" s="5">
        <f t="shared" si="83"/>
        <v>0.11782295592476599</v>
      </c>
      <c r="K31" s="5">
        <f t="shared" si="83"/>
        <v>0.11515640116091583</v>
      </c>
      <c r="L31" s="5">
        <f t="shared" si="83"/>
        <v>0.12371883992369621</v>
      </c>
      <c r="M31" s="5">
        <f>+M10/M5</f>
        <v>0.12446119857246589</v>
      </c>
    </row>
    <row r="32" spans="1:62" x14ac:dyDescent="0.25">
      <c r="A32" t="s">
        <v>38</v>
      </c>
      <c r="B32" s="5">
        <f t="shared" ref="B32" si="84">+B11/B5</f>
        <v>0.100337621643092</v>
      </c>
      <c r="C32" s="5">
        <f t="shared" ref="C32:L32" si="85">+C11/C5</f>
        <v>0.10398623569440149</v>
      </c>
      <c r="D32" s="5">
        <f t="shared" si="85"/>
        <v>0.11335089141004863</v>
      </c>
      <c r="E32" s="5">
        <f t="shared" si="85"/>
        <v>0.12154632218258941</v>
      </c>
      <c r="F32" s="5">
        <f t="shared" si="85"/>
        <v>0.10227046007741111</v>
      </c>
      <c r="G32" s="5">
        <f t="shared" si="85"/>
        <v>0.10766489089426887</v>
      </c>
      <c r="H32" s="5">
        <f t="shared" si="85"/>
        <v>0.10878407779480485</v>
      </c>
      <c r="I32" s="5">
        <f t="shared" si="85"/>
        <v>0.11041307017387746</v>
      </c>
      <c r="J32" s="5">
        <f t="shared" si="85"/>
        <v>9.1777695206751955E-2</v>
      </c>
      <c r="K32" s="5">
        <f t="shared" si="85"/>
        <v>0.10070944856497904</v>
      </c>
      <c r="L32" s="5">
        <f t="shared" si="85"/>
        <v>0.10034272042419735</v>
      </c>
      <c r="M32" s="5">
        <f>+M11/M5</f>
        <v>0.10530381448236439</v>
      </c>
    </row>
    <row r="33" spans="1:37" x14ac:dyDescent="0.25">
      <c r="A33" t="s">
        <v>39</v>
      </c>
      <c r="B33" s="5">
        <f t="shared" ref="B33" si="86">+B12/B5</f>
        <v>2.8399938213032636E-2</v>
      </c>
      <c r="C33" s="5">
        <f t="shared" ref="C33:L33" si="87">+C12/C5</f>
        <v>2.6755335601608414E-2</v>
      </c>
      <c r="D33" s="5">
        <f t="shared" si="87"/>
        <v>2.9983792544570502E-2</v>
      </c>
      <c r="E33" s="5">
        <f t="shared" si="87"/>
        <v>3.3722163308589605E-2</v>
      </c>
      <c r="F33" s="5">
        <f t="shared" si="87"/>
        <v>2.789194365747576E-2</v>
      </c>
      <c r="G33" s="5">
        <f t="shared" si="87"/>
        <v>4.4305837298803726E-2</v>
      </c>
      <c r="H33" s="5">
        <f t="shared" si="87"/>
        <v>3.1083867794237281E-2</v>
      </c>
      <c r="I33" s="5">
        <f t="shared" si="87"/>
        <v>3.9100179750484972E-2</v>
      </c>
      <c r="J33" s="5">
        <f t="shared" si="87"/>
        <v>2.608064830051135E-2</v>
      </c>
      <c r="K33" s="5">
        <f t="shared" si="87"/>
        <v>3.1876813930990004E-2</v>
      </c>
      <c r="L33" s="5">
        <f t="shared" si="87"/>
        <v>3.0909502408742604E-2</v>
      </c>
      <c r="M33" s="5">
        <f>+M12/M5</f>
        <v>3.4699584408361274E-2</v>
      </c>
    </row>
    <row r="34" spans="1:37" x14ac:dyDescent="0.25">
      <c r="A34" t="s">
        <v>40</v>
      </c>
      <c r="B34" s="5">
        <f t="shared" ref="B34" si="88">+B14/B5</f>
        <v>0.44658737339188381</v>
      </c>
      <c r="C34" s="5">
        <f t="shared" ref="C34:L34" si="89">+C14/C5</f>
        <v>0.43007655428394681</v>
      </c>
      <c r="D34" s="5">
        <f t="shared" si="89"/>
        <v>0.41256077795786061</v>
      </c>
      <c r="E34" s="5">
        <f t="shared" si="89"/>
        <v>0.3959124650535043</v>
      </c>
      <c r="F34" s="5">
        <f t="shared" si="89"/>
        <v>0.42931247755476637</v>
      </c>
      <c r="G34" s="5">
        <f t="shared" si="89"/>
        <v>0.3867328947617874</v>
      </c>
      <c r="H34" s="5">
        <f t="shared" si="89"/>
        <v>0.42287681858599618</v>
      </c>
      <c r="I34" s="5">
        <f t="shared" si="89"/>
        <v>0.4316503230169606</v>
      </c>
      <c r="J34" s="5">
        <f t="shared" si="89"/>
        <v>0.47587451563246458</v>
      </c>
      <c r="K34" s="5">
        <f t="shared" si="89"/>
        <v>0.43585940019348596</v>
      </c>
      <c r="L34" s="5">
        <f t="shared" si="89"/>
        <v>0.44587603866921011</v>
      </c>
      <c r="M34" s="5">
        <f>+M14/M5</f>
        <v>0.43142737960974553</v>
      </c>
    </row>
    <row r="35" spans="1:37" x14ac:dyDescent="0.25">
      <c r="A35" t="s">
        <v>41</v>
      </c>
      <c r="B35" s="5">
        <f t="shared" ref="B35" si="90">+B17/B16</f>
        <v>9.2574546871954783E-4</v>
      </c>
      <c r="C35" s="5">
        <f t="shared" ref="C35:L35" si="91">+C17/C16</f>
        <v>0.16655562958027981</v>
      </c>
      <c r="D35" s="5">
        <f t="shared" si="91"/>
        <v>0.17147102526002972</v>
      </c>
      <c r="E35" s="5">
        <f t="shared" si="91"/>
        <v>0.18289647093278666</v>
      </c>
      <c r="F35" s="5">
        <f t="shared" si="91"/>
        <v>0.18616725384758021</v>
      </c>
      <c r="G35" s="5">
        <f t="shared" si="91"/>
        <v>0.19243817296818919</v>
      </c>
      <c r="H35" s="5">
        <f t="shared" si="91"/>
        <v>0.19291668504388479</v>
      </c>
      <c r="I35" s="5">
        <f t="shared" si="91"/>
        <v>0.18789177821814212</v>
      </c>
      <c r="J35" s="5">
        <f t="shared" si="91"/>
        <v>0.18300102624248643</v>
      </c>
      <c r="K35" s="5">
        <f t="shared" si="91"/>
        <v>0.17552589911784663</v>
      </c>
      <c r="L35" s="5">
        <f t="shared" si="91"/>
        <v>0.17914468514984846</v>
      </c>
      <c r="M35" s="5">
        <f>+M17/M16</f>
        <v>0.1913394495412844</v>
      </c>
      <c r="V35" t="s">
        <v>18</v>
      </c>
    </row>
    <row r="37" spans="1:37" s="1" customFormat="1" x14ac:dyDescent="0.25">
      <c r="A37" s="1" t="s">
        <v>54</v>
      </c>
      <c r="P37" s="1" t="s">
        <v>18</v>
      </c>
      <c r="T37" s="4">
        <f>+T39-T48</f>
        <v>55809</v>
      </c>
      <c r="U37" s="4">
        <f>+U39-U48</f>
        <v>38513</v>
      </c>
      <c r="V37" s="4">
        <f>+U37+V18</f>
        <v>149545.01269999999</v>
      </c>
      <c r="W37" s="4">
        <f t="shared" ref="W37:AK37" si="92">+V37+W18</f>
        <v>279465.18866767996</v>
      </c>
      <c r="X37" s="4">
        <f t="shared" si="92"/>
        <v>424153.74955021846</v>
      </c>
      <c r="Y37" s="4">
        <f t="shared" si="92"/>
        <v>585126.77499409229</v>
      </c>
      <c r="Z37" s="4">
        <f t="shared" si="92"/>
        <v>764053.01182621322</v>
      </c>
      <c r="AA37" s="4">
        <f t="shared" si="92"/>
        <v>962769.17155708687</v>
      </c>
      <c r="AB37" s="4">
        <f t="shared" si="92"/>
        <v>1183296.7585495138</v>
      </c>
      <c r="AC37" s="4">
        <f t="shared" si="92"/>
        <v>1403824.3455419405</v>
      </c>
      <c r="AD37" s="4">
        <f t="shared" si="92"/>
        <v>1624351.9325343673</v>
      </c>
      <c r="AE37" s="4">
        <f t="shared" si="92"/>
        <v>1844879.5195267941</v>
      </c>
      <c r="AF37" s="4">
        <f t="shared" si="92"/>
        <v>2065407.1065192209</v>
      </c>
      <c r="AG37" s="4">
        <f t="shared" si="92"/>
        <v>2285934.6935116476</v>
      </c>
      <c r="AH37" s="4">
        <f t="shared" si="92"/>
        <v>2506462.2805040744</v>
      </c>
      <c r="AI37" s="4">
        <f t="shared" si="92"/>
        <v>2726989.8674965012</v>
      </c>
      <c r="AJ37" s="4">
        <f t="shared" si="92"/>
        <v>2947517.454488928</v>
      </c>
      <c r="AK37" s="4">
        <f t="shared" si="92"/>
        <v>3168045.0414813547</v>
      </c>
    </row>
    <row r="38" spans="1:37" x14ac:dyDescent="0.25"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5">
      <c r="A39" t="s">
        <v>4</v>
      </c>
      <c r="T39" s="3">
        <f>34704+76558+9879</f>
        <v>121141</v>
      </c>
      <c r="U39" s="3">
        <f>18315+57228+14600</f>
        <v>90143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5">
      <c r="A40" t="s">
        <v>42</v>
      </c>
      <c r="T40" s="3">
        <v>48688</v>
      </c>
      <c r="U40" s="3">
        <v>56924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5">
      <c r="A41" t="s">
        <v>43</v>
      </c>
      <c r="T41" s="3">
        <v>2500</v>
      </c>
      <c r="U41" s="3">
        <v>1246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5">
      <c r="A42" t="s">
        <v>47</v>
      </c>
      <c r="T42" s="3">
        <f>21807+30601</f>
        <v>52408</v>
      </c>
      <c r="U42" s="3">
        <f>26021+36460</f>
        <v>62481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5">
      <c r="A43" t="s">
        <v>44</v>
      </c>
      <c r="T43" s="3">
        <v>95641</v>
      </c>
      <c r="U43" s="3">
        <v>135591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5">
      <c r="A44" t="s">
        <v>45</v>
      </c>
      <c r="T44" s="3">
        <v>14346</v>
      </c>
      <c r="U44" s="3">
        <v>18961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5">
      <c r="A45" t="s">
        <v>46</v>
      </c>
      <c r="T45" s="3">
        <f>67886+9366</f>
        <v>77252</v>
      </c>
      <c r="U45" s="3">
        <f>119220+27597</f>
        <v>146817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5">
      <c r="A46" t="s">
        <v>48</v>
      </c>
      <c r="T46" s="3">
        <f>SUM(T39:T45)</f>
        <v>411976</v>
      </c>
      <c r="U46" s="3">
        <f>SUM(U39:U45)</f>
        <v>512163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5"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5">
      <c r="A48" t="s">
        <v>5</v>
      </c>
      <c r="T48" s="3">
        <f>18095+41990+5247</f>
        <v>65332</v>
      </c>
      <c r="U48" s="3">
        <f>6693+42688+2249</f>
        <v>51630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25">
      <c r="A49" t="s">
        <v>49</v>
      </c>
      <c r="T49" s="3">
        <v>0</v>
      </c>
      <c r="U49" s="3">
        <v>21996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25">
      <c r="A50" t="s">
        <v>50</v>
      </c>
      <c r="T50" s="3">
        <v>11009</v>
      </c>
      <c r="U50" s="3">
        <v>12564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25">
      <c r="A51" t="s">
        <v>30</v>
      </c>
      <c r="T51" s="3">
        <f>4152+25560</f>
        <v>29712</v>
      </c>
      <c r="U51" s="3">
        <f>5017+27931</f>
        <v>32948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25">
      <c r="A52" t="s">
        <v>51</v>
      </c>
      <c r="T52" s="3">
        <f>50901+2912</f>
        <v>53813</v>
      </c>
      <c r="U52" s="3">
        <f>57582+2602</f>
        <v>60184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25">
      <c r="A53" t="s">
        <v>47</v>
      </c>
      <c r="T53" s="3">
        <f>14745+17981</f>
        <v>32726</v>
      </c>
      <c r="U53" s="3">
        <f>19185+27064</f>
        <v>46249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25">
      <c r="A54" t="s">
        <v>52</v>
      </c>
      <c r="T54" s="3">
        <v>433</v>
      </c>
      <c r="U54" s="3">
        <v>2618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25">
      <c r="A55" t="s">
        <v>53</v>
      </c>
      <c r="T55" s="3">
        <v>12728</v>
      </c>
      <c r="U55" s="3">
        <v>15497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25">
      <c r="T56" s="3">
        <f>SUM(T48:T55)</f>
        <v>205753</v>
      </c>
      <c r="U56" s="3">
        <f>SUM(U48:U55)</f>
        <v>243686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25">
      <c r="T57" t="s">
        <v>18</v>
      </c>
    </row>
    <row r="58" spans="1:37" x14ac:dyDescent="0.25">
      <c r="A58" t="s">
        <v>55</v>
      </c>
      <c r="T58">
        <f>+T46-T56</f>
        <v>206223</v>
      </c>
      <c r="U58">
        <f>+U46-U56</f>
        <v>268477</v>
      </c>
    </row>
    <row r="59" spans="1:37" x14ac:dyDescent="0.25">
      <c r="A59" t="s">
        <v>56</v>
      </c>
      <c r="T59">
        <f>+T56+T58</f>
        <v>411976</v>
      </c>
      <c r="U59">
        <f>+U56+U58</f>
        <v>512163</v>
      </c>
    </row>
    <row r="61" spans="1:37" x14ac:dyDescent="0.25">
      <c r="A61" t="s">
        <v>57</v>
      </c>
      <c r="T61" s="5">
        <f t="shared" ref="T61" si="93">+T18/T46</f>
        <v>0.175643726819038</v>
      </c>
      <c r="U61" s="5">
        <f>+U18/U46</f>
        <v>0.17208583985957596</v>
      </c>
    </row>
    <row r="62" spans="1:37" x14ac:dyDescent="0.25">
      <c r="A62" t="s">
        <v>58</v>
      </c>
      <c r="J62" t="s">
        <v>18</v>
      </c>
      <c r="S62" t="s">
        <v>18</v>
      </c>
      <c r="T62" s="5">
        <f t="shared" ref="T62" si="94">+T18/T58</f>
        <v>0.35088714643856406</v>
      </c>
      <c r="U62" s="5">
        <f>+U18/U58</f>
        <v>0.32828137978299815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2024-09-20T20:42:59Z</dcterms:created>
  <dcterms:modified xsi:type="dcterms:W3CDTF">2024-09-23T17:56:30Z</dcterms:modified>
</cp:coreProperties>
</file>