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Financials/Ações/"/>
    </mc:Choice>
  </mc:AlternateContent>
  <xr:revisionPtr revIDLastSave="29" documentId="13_ncr:1_{2EFFA12C-FF92-4A6C-A531-D8451F3C8F81}" xr6:coauthVersionLast="47" xr6:coauthVersionMax="47" xr10:uidLastSave="{E042E5A8-9C83-4D29-A183-68E3EB1CC01A}"/>
  <bookViews>
    <workbookView xWindow="-108" yWindow="-108" windowWidth="23256" windowHeight="12456" activeTab="1" xr2:uid="{96C9B965-13A3-43DF-96C2-385B83502C8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K7" i="1"/>
  <c r="T3" i="2" l="1"/>
  <c r="T4" i="2"/>
  <c r="T5" i="2"/>
  <c r="T7" i="2"/>
  <c r="T8" i="2"/>
  <c r="T9" i="2"/>
  <c r="S21" i="2"/>
  <c r="T21" i="2"/>
  <c r="T18" i="2"/>
  <c r="T17" i="2"/>
  <c r="T16" i="2"/>
  <c r="T13" i="2"/>
  <c r="T12" i="2"/>
  <c r="J30" i="2"/>
  <c r="M26" i="2" l="1"/>
  <c r="L26" i="2"/>
  <c r="K26" i="2"/>
  <c r="J26" i="2"/>
  <c r="M25" i="2"/>
  <c r="L25" i="2"/>
  <c r="K25" i="2"/>
  <c r="J25" i="2"/>
  <c r="H19" i="2"/>
  <c r="M30" i="2"/>
  <c r="L30" i="2"/>
  <c r="K30" i="2"/>
  <c r="F30" i="2"/>
  <c r="T30" i="2"/>
  <c r="S18" i="2"/>
  <c r="S17" i="2"/>
  <c r="S16" i="2"/>
  <c r="S13" i="2"/>
  <c r="T26" i="2" s="1"/>
  <c r="S12" i="2"/>
  <c r="S14" i="2" s="1"/>
  <c r="S9" i="2"/>
  <c r="S8" i="2"/>
  <c r="S7" i="2"/>
  <c r="S5" i="2"/>
  <c r="S4" i="2"/>
  <c r="S3" i="2"/>
  <c r="T2" i="2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T25" i="2" l="1"/>
  <c r="S19" i="2"/>
  <c r="S20" i="2" s="1"/>
  <c r="T19" i="2"/>
  <c r="T20" i="2" s="1"/>
  <c r="S30" i="2"/>
  <c r="G14" i="2" l="1"/>
  <c r="G10" i="2"/>
  <c r="G6" i="2"/>
  <c r="K19" i="2"/>
  <c r="K20" i="2" s="1"/>
  <c r="K14" i="2"/>
  <c r="K10" i="2"/>
  <c r="K6" i="2"/>
  <c r="K24" i="2" l="1"/>
  <c r="K27" i="2"/>
  <c r="G11" i="2"/>
  <c r="K11" i="2"/>
  <c r="K15" i="2" l="1"/>
  <c r="K29" i="2"/>
  <c r="G15" i="2"/>
  <c r="G29" i="2"/>
  <c r="H6" i="2"/>
  <c r="I6" i="2"/>
  <c r="H10" i="2"/>
  <c r="I10" i="2"/>
  <c r="H14" i="2"/>
  <c r="I14" i="2"/>
  <c r="I19" i="2"/>
  <c r="I20" i="2" s="1"/>
  <c r="L6" i="2"/>
  <c r="M6" i="2"/>
  <c r="L10" i="2"/>
  <c r="M10" i="2"/>
  <c r="L14" i="2"/>
  <c r="M14" i="2"/>
  <c r="L19" i="2"/>
  <c r="M19" i="2"/>
  <c r="L20" i="2"/>
  <c r="M20" i="2"/>
  <c r="J19" i="2"/>
  <c r="J20" i="2" s="1"/>
  <c r="J14" i="2"/>
  <c r="J10" i="2"/>
  <c r="J6" i="2"/>
  <c r="F19" i="2"/>
  <c r="F14" i="2"/>
  <c r="F10" i="2"/>
  <c r="F6" i="2"/>
  <c r="K8" i="1"/>
  <c r="K5" i="1"/>
  <c r="S10" i="2" l="1"/>
  <c r="I11" i="2"/>
  <c r="I29" i="2" s="1"/>
  <c r="H11" i="2"/>
  <c r="H15" i="2"/>
  <c r="H29" i="2"/>
  <c r="J24" i="2"/>
  <c r="T6" i="2"/>
  <c r="J27" i="2"/>
  <c r="T14" i="2"/>
  <c r="M24" i="2"/>
  <c r="M27" i="2"/>
  <c r="L24" i="2"/>
  <c r="L27" i="2"/>
  <c r="T10" i="2"/>
  <c r="L11" i="2"/>
  <c r="K9" i="1"/>
  <c r="J11" i="2"/>
  <c r="I15" i="2"/>
  <c r="F11" i="2"/>
  <c r="S6" i="2"/>
  <c r="S11" i="2" s="1"/>
  <c r="M11" i="2"/>
  <c r="F15" i="2" l="1"/>
  <c r="F29" i="2"/>
  <c r="J15" i="2"/>
  <c r="J29" i="2"/>
  <c r="L15" i="2"/>
  <c r="L29" i="2"/>
  <c r="T24" i="2"/>
  <c r="T27" i="2"/>
  <c r="U6" i="2"/>
  <c r="M15" i="2"/>
  <c r="M29" i="2"/>
  <c r="S15" i="2"/>
  <c r="S29" i="2"/>
  <c r="T11" i="2"/>
  <c r="T15" i="2" l="1"/>
  <c r="V6" i="2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P10" i="2" s="1"/>
  <c r="P11" i="2" s="1"/>
  <c r="P12" i="2" s="1"/>
  <c r="P14" i="2" s="1"/>
  <c r="T29" i="2"/>
</calcChain>
</file>

<file path=xl/sharedStrings.xml><?xml version="1.0" encoding="utf-8"?>
<sst xmlns="http://schemas.openxmlformats.org/spreadsheetml/2006/main" count="108" uniqueCount="86">
  <si>
    <t>Price</t>
  </si>
  <si>
    <t>Share</t>
  </si>
  <si>
    <t>MC</t>
  </si>
  <si>
    <t>Cash</t>
  </si>
  <si>
    <t>Debt</t>
  </si>
  <si>
    <t>NC</t>
  </si>
  <si>
    <t>EV</t>
  </si>
  <si>
    <t xml:space="preserve"> </t>
  </si>
  <si>
    <t>SYM</t>
  </si>
  <si>
    <t>Systems</t>
  </si>
  <si>
    <t>Software maintenance and support</t>
  </si>
  <si>
    <t xml:space="preserve">Operation services </t>
  </si>
  <si>
    <t>revenue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</si>
  <si>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</si>
  <si>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</si>
  <si>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</si>
  <si>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</si>
  <si>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</si>
  <si>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</si>
  <si>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</si>
  <si>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</si>
  <si>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</si>
  <si>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</si>
  <si>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 xml:space="preserve">Q323 </t>
  </si>
  <si>
    <t>Q423</t>
  </si>
  <si>
    <t>COSS</t>
  </si>
  <si>
    <t xml:space="preserve">Gross Profit </t>
  </si>
  <si>
    <t>R&amp;D</t>
  </si>
  <si>
    <t>SG&amp;A</t>
  </si>
  <si>
    <t>OPEX</t>
  </si>
  <si>
    <t xml:space="preserve">Interest income </t>
  </si>
  <si>
    <t xml:space="preserve">Pretaxe income </t>
  </si>
  <si>
    <t>Taxes</t>
  </si>
  <si>
    <t>Shares</t>
  </si>
  <si>
    <t>EPS</t>
  </si>
  <si>
    <t>Net income</t>
  </si>
  <si>
    <t xml:space="preserve">Operating profit  </t>
  </si>
  <si>
    <t>revenue Y/Y</t>
  </si>
  <si>
    <t>R&amp;D Y/Y</t>
  </si>
  <si>
    <t>SG&amp;A Y/Y</t>
  </si>
  <si>
    <t>Net income Y/Y</t>
  </si>
  <si>
    <t xml:space="preserve">  </t>
  </si>
  <si>
    <t>deve tar errado</t>
  </si>
  <si>
    <t>The platform is composed of atomizing robotics, a buffering structure, autonomous mobile robots that handle product, robotic palletizing cells, and software to operate the robotics</t>
  </si>
  <si>
    <t>The Company is engaged in developing, commercializing, and deploying advanced, end-to-end technology solutions that improve supply chain operations.</t>
  </si>
  <si>
    <t>Symbotic is focused on artificial intelligence (AI)-enabled robotics automation technology.</t>
  </si>
  <si>
    <t>The robots they operate are way faster than comprtitors. Running up to 25 mph</t>
  </si>
  <si>
    <t>The Systems are ajustable to facility infraestrature available</t>
  </si>
  <si>
    <t>Sometimes robots get in trouble due to bugs or inventorie default misscounts</t>
  </si>
  <si>
    <t>Pros:</t>
  </si>
  <si>
    <t>Cons:</t>
  </si>
  <si>
    <t>Info:</t>
  </si>
  <si>
    <t>CFO: Thomas Ernst</t>
  </si>
  <si>
    <t>CEO: Richard B. Cohen owner of wholesale groceries (C&amp;S) and SYM</t>
  </si>
  <si>
    <t>Expertise for troubleshooting problems take time to arrive. Which can means dead time for a company.</t>
  </si>
  <si>
    <t>Biggest stakegholders.</t>
  </si>
  <si>
    <t>Walmart 11%</t>
  </si>
  <si>
    <t>With the biggest venture being Greenbox. Being also responsable to reach potential customers for this tecnology</t>
  </si>
  <si>
    <t xml:space="preserve">Operates in parternship with Target, Walmart, Albertson's </t>
  </si>
  <si>
    <t>Softbank 8%</t>
  </si>
  <si>
    <t>NPV</t>
  </si>
  <si>
    <t>Per share:</t>
  </si>
  <si>
    <t>Ratio:</t>
  </si>
  <si>
    <t>Current Price:</t>
  </si>
  <si>
    <t>Net Cash:</t>
  </si>
  <si>
    <t>Discount Rate:</t>
  </si>
  <si>
    <t>Maturity rate:</t>
  </si>
  <si>
    <t>A/R</t>
  </si>
  <si>
    <t>U A/R</t>
  </si>
  <si>
    <t>Inventorie</t>
  </si>
  <si>
    <t>Deferend Expenses</t>
  </si>
  <si>
    <t>Prepaid expenses</t>
  </si>
  <si>
    <t>Intangible</t>
  </si>
  <si>
    <t>Long Term Assets</t>
  </si>
  <si>
    <t>PP&amp;E</t>
  </si>
  <si>
    <t>A/P</t>
  </si>
  <si>
    <t>A/E</t>
  </si>
  <si>
    <t>S/P</t>
  </si>
  <si>
    <t>D/R</t>
  </si>
  <si>
    <t>Liabilities</t>
  </si>
  <si>
    <t>CASH FLOW</t>
  </si>
  <si>
    <t>ROIC</t>
  </si>
  <si>
    <t>Terminal</t>
  </si>
  <si>
    <t>Gross %</t>
  </si>
  <si>
    <t>RD</t>
  </si>
  <si>
    <t>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</si>
</sst>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164" fontId="0" fillId="0" borderId="0" xfId="0" applyNumberFormat="1"/>
    <xf numFmtId="10" fontId="0" fillId="0" borderId="0" xfId="0" applyNumberFormat="1"/>
    <xf numFmtId="4" fontId="0" fillId="0" borderId="1" xfId="0" applyNumberFormat="1" applyBorder="1"/>
    <xf numFmtId="4" fontId="0" fillId="0" borderId="2" xfId="0" applyNumberFormat="1" applyBorder="1"/>
    <xf numFmtId="0" fontId="0" fillId="0" borderId="2" xfId="0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5" xfId="0" applyNumberFormat="1" applyBorder="1" applyAlignment="1">
      <alignment horizontal="center"/>
    </xf>
    <xf numFmtId="3" fontId="0" fillId="0" borderId="5" xfId="0" applyNumberFormat="1" applyBorder="1"/>
    <xf numFmtId="3" fontId="0" fillId="0" borderId="6" xfId="0" applyNumberFormat="1" applyBorder="1"/>
    <xf numFmtId="4" fontId="0" fillId="0" borderId="0" xfId="0" applyNumberFormat="1"/>
    <xf numFmtId="3" fontId="0" fillId="0" borderId="4" xfId="0" applyNumberForma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7126</xdr:colOff>
      <xdr:row>0</xdr:row>
      <xdr:rowOff>0</xdr:rowOff>
    </xdr:from>
    <xdr:to>
      <xdr:col>13</xdr:col>
      <xdr:colOff>8458</xdr:colOff>
      <xdr:row>36</xdr:row>
      <xdr:rowOff>25400</xdr:rowOff>
    </xdr:to>
    <xdr:cxnSp macro="">
      <xdr:nvCxnSpPr>
        <xdr:cNvPr id="3" name="Conexão reta 2">
          <a:extLst>
            <a:ext uri="{FF2B5EF4-FFF2-40B4-BE49-F238E27FC236}">
              <a16:creationId xmlns:a16="http://schemas.microsoft.com/office/drawing/2014/main" id="{9BBEC550-5090-8BEB-207B-8C59EF263059}"/>
            </a:ext>
          </a:extLst>
        </xdr:cNvPr>
        <xdr:cNvCxnSpPr/>
      </xdr:nvCxnSpPr>
      <xdr:spPr>
        <a:xfrm>
          <a:off x="15797459" y="0"/>
          <a:ext cx="1332" cy="6426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7134</xdr:colOff>
      <xdr:row>0</xdr:row>
      <xdr:rowOff>84667</xdr:rowOff>
    </xdr:from>
    <xdr:to>
      <xdr:col>18</xdr:col>
      <xdr:colOff>8466</xdr:colOff>
      <xdr:row>36</xdr:row>
      <xdr:rowOff>110067</xdr:rowOff>
    </xdr:to>
    <xdr:cxnSp macro="">
      <xdr:nvCxnSpPr>
        <xdr:cNvPr id="2" name="Conexão reta 1">
          <a:extLst>
            <a:ext uri="{FF2B5EF4-FFF2-40B4-BE49-F238E27FC236}">
              <a16:creationId xmlns:a16="http://schemas.microsoft.com/office/drawing/2014/main" id="{11D81105-7BEA-4B89-A519-BDD1BC81A9EA}"/>
            </a:ext>
          </a:extLst>
        </xdr:cNvPr>
        <xdr:cNvCxnSpPr/>
      </xdr:nvCxnSpPr>
      <xdr:spPr>
        <a:xfrm>
          <a:off x="19632867" y="84667"/>
          <a:ext cx="1332" cy="6426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80AD-65C4-400D-9BF1-31CA92A089B0}">
  <dimension ref="A3:K32"/>
  <sheetViews>
    <sheetView workbookViewId="0">
      <selection activeCell="K6" sqref="K6"/>
    </sheetView>
  </sheetViews>
  <sheetFormatPr defaultRowHeight="13.8" x14ac:dyDescent="0.25"/>
  <sheetData>
    <row r="3" spans="1:11" x14ac:dyDescent="0.25">
      <c r="A3" t="s">
        <v>7</v>
      </c>
      <c r="B3" s="3" t="s">
        <v>8</v>
      </c>
      <c r="J3" t="s">
        <v>0</v>
      </c>
      <c r="K3" s="1">
        <v>47</v>
      </c>
    </row>
    <row r="4" spans="1:11" x14ac:dyDescent="0.25">
      <c r="J4" t="s">
        <v>1</v>
      </c>
      <c r="K4" s="1">
        <v>556.572</v>
      </c>
    </row>
    <row r="5" spans="1:11" x14ac:dyDescent="0.25">
      <c r="J5" t="s">
        <v>2</v>
      </c>
      <c r="K5" s="1">
        <f>+K4*K3</f>
        <v>26158.884000000002</v>
      </c>
    </row>
    <row r="6" spans="1:11" x14ac:dyDescent="0.25">
      <c r="J6" t="s">
        <v>3</v>
      </c>
      <c r="K6" s="1">
        <f>258.77+286.736+692.06+121.149</f>
        <v>1358.7149999999997</v>
      </c>
    </row>
    <row r="7" spans="1:11" x14ac:dyDescent="0.25">
      <c r="B7" t="s">
        <v>53</v>
      </c>
      <c r="J7" t="s">
        <v>4</v>
      </c>
      <c r="K7" s="1">
        <f>109.918+99.992+28.322</f>
        <v>238.23200000000003</v>
      </c>
    </row>
    <row r="8" spans="1:11" x14ac:dyDescent="0.25">
      <c r="B8" t="s">
        <v>52</v>
      </c>
      <c r="J8" t="s">
        <v>5</v>
      </c>
      <c r="K8" s="1">
        <f>+K6-K7</f>
        <v>1120.4829999999997</v>
      </c>
    </row>
    <row r="9" spans="1:11" x14ac:dyDescent="0.25">
      <c r="J9" t="s">
        <v>6</v>
      </c>
      <c r="K9" s="1">
        <f>+K5-K8</f>
        <v>25038.401000000002</v>
      </c>
    </row>
    <row r="12" spans="1:11" x14ac:dyDescent="0.25">
      <c r="B12" t="s">
        <v>7</v>
      </c>
    </row>
    <row r="13" spans="1:11" x14ac:dyDescent="0.25">
      <c r="B13" t="s">
        <v>51</v>
      </c>
    </row>
    <row r="14" spans="1:11" x14ac:dyDescent="0.25">
      <c r="B14" t="s">
        <v>45</v>
      </c>
    </row>
    <row r="15" spans="1:11" x14ac:dyDescent="0.25">
      <c r="B15" t="s">
        <v>44</v>
      </c>
    </row>
    <row r="16" spans="1:11" ht="15" x14ac:dyDescent="0.25">
      <c r="B16" s="19" t="s">
        <v>43</v>
      </c>
    </row>
    <row r="17" spans="2:5" ht="15" x14ac:dyDescent="0.25">
      <c r="B17" s="19"/>
    </row>
    <row r="18" spans="2:5" x14ac:dyDescent="0.25">
      <c r="B18" t="s">
        <v>49</v>
      </c>
    </row>
    <row r="19" spans="2:5" x14ac:dyDescent="0.25">
      <c r="B19" t="s">
        <v>46</v>
      </c>
    </row>
    <row r="20" spans="2:5" x14ac:dyDescent="0.25">
      <c r="B20" t="s">
        <v>47</v>
      </c>
    </row>
    <row r="22" spans="2:5" x14ac:dyDescent="0.25">
      <c r="B22" t="s">
        <v>50</v>
      </c>
    </row>
    <row r="23" spans="2:5" x14ac:dyDescent="0.25">
      <c r="B23" t="s">
        <v>48</v>
      </c>
    </row>
    <row r="24" spans="2:5" x14ac:dyDescent="0.25">
      <c r="B24" t="s">
        <v>54</v>
      </c>
    </row>
    <row r="28" spans="2:5" x14ac:dyDescent="0.25">
      <c r="B28" t="s">
        <v>55</v>
      </c>
    </row>
    <row r="29" spans="2:5" x14ac:dyDescent="0.25">
      <c r="B29" t="s">
        <v>56</v>
      </c>
    </row>
    <row r="30" spans="2:5" x14ac:dyDescent="0.25">
      <c r="B30" t="s">
        <v>59</v>
      </c>
      <c r="E30" t="s">
        <v>57</v>
      </c>
    </row>
    <row r="32" spans="2:5" x14ac:dyDescent="0.25">
      <c r="B3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01B9-B3DA-43CD-B0C6-E69918D5AA4D}">
  <dimension ref="A2:BD49"/>
  <sheetViews>
    <sheetView tabSelected="1" zoomScale="90" zoomScaleNormal="90" workbookViewId="0">
      <pane xSplit="1" ySplit="2" topLeftCell="B3" activePane="bottomRight" state="frozen"/>
      <selection pane="topRight" activeCell="C1" sqref="C1"/>
      <selection pane="bottomLeft" activeCell="A6" sqref="A6"/>
      <selection pane="bottomRight" activeCell="K9" sqref="K9"/>
    </sheetView>
  </sheetViews>
  <sheetFormatPr defaultRowHeight="13.8" x14ac:dyDescent="0.25"/>
  <cols>
    <col min="1" max="1" width="30.5" customWidth="1"/>
    <col min="7" max="7" width="8.796875" customWidth="1"/>
    <col min="11" max="11" width="9.8984375" bestFit="1" customWidth="1"/>
    <col min="15" max="15" width="14.09765625" bestFit="1" customWidth="1"/>
    <col min="16" max="16" width="9.09765625" bestFit="1" customWidth="1"/>
    <col min="18" max="18" width="15.19921875" customWidth="1"/>
    <col min="20" max="20" width="10.3984375" customWidth="1"/>
    <col min="21" max="21" width="10.19921875" customWidth="1"/>
    <col min="22" max="22" width="14.5" customWidth="1"/>
    <col min="23" max="23" width="10.09765625" customWidth="1"/>
    <col min="24" max="24" width="10" customWidth="1"/>
    <col min="25" max="25" width="9.796875" customWidth="1"/>
    <col min="26" max="26" width="9.8984375" customWidth="1"/>
    <col min="27" max="27" width="9.59765625" customWidth="1"/>
    <col min="28" max="29" width="9.8984375" customWidth="1"/>
    <col min="30" max="30" width="9.796875" customWidth="1"/>
    <col min="31" max="31" width="9.59765625" customWidth="1"/>
    <col min="32" max="32" width="9.69921875" customWidth="1"/>
    <col min="33" max="33" width="9.5" customWidth="1"/>
    <col min="34" max="34" width="9.59765625" customWidth="1"/>
    <col min="35" max="35" width="9.5" customWidth="1"/>
  </cols>
  <sheetData>
    <row r="2" spans="1:56" x14ac:dyDescent="0.25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R2" t="s">
        <v>7</v>
      </c>
      <c r="S2">
        <v>2022</v>
      </c>
      <c r="T2">
        <f>+S2+1</f>
        <v>2023</v>
      </c>
      <c r="U2">
        <f t="shared" ref="U2:AI2" si="0">+T2+1</f>
        <v>2024</v>
      </c>
      <c r="V2">
        <f t="shared" si="0"/>
        <v>2025</v>
      </c>
      <c r="W2">
        <f t="shared" si="0"/>
        <v>2026</v>
      </c>
      <c r="X2">
        <f t="shared" si="0"/>
        <v>2027</v>
      </c>
      <c r="Y2">
        <f t="shared" si="0"/>
        <v>2028</v>
      </c>
      <c r="Z2">
        <f t="shared" si="0"/>
        <v>2029</v>
      </c>
      <c r="AA2">
        <f t="shared" si="0"/>
        <v>2030</v>
      </c>
      <c r="AB2">
        <f t="shared" si="0"/>
        <v>2031</v>
      </c>
      <c r="AC2">
        <f t="shared" si="0"/>
        <v>2032</v>
      </c>
      <c r="AD2">
        <f t="shared" si="0"/>
        <v>2033</v>
      </c>
      <c r="AE2">
        <f t="shared" si="0"/>
        <v>2034</v>
      </c>
      <c r="AF2">
        <f t="shared" si="0"/>
        <v>2035</v>
      </c>
      <c r="AG2">
        <f t="shared" si="0"/>
        <v>2036</v>
      </c>
      <c r="AH2">
        <f t="shared" si="0"/>
        <v>2037</v>
      </c>
      <c r="AI2">
        <f t="shared" si="0"/>
        <v>2038</v>
      </c>
    </row>
    <row r="3" spans="1:56" x14ac:dyDescent="0.25">
      <c r="A3" t="s">
        <v>9</v>
      </c>
      <c r="B3" s="1"/>
      <c r="C3" s="1"/>
      <c r="D3" s="1"/>
      <c r="E3" s="1"/>
      <c r="F3" s="1">
        <v>71222</v>
      </c>
      <c r="G3" s="1">
        <v>89572</v>
      </c>
      <c r="H3" s="1">
        <v>169503</v>
      </c>
      <c r="I3" s="1">
        <v>237696</v>
      </c>
      <c r="J3" s="1">
        <v>197901</v>
      </c>
      <c r="K3" s="1">
        <v>257603</v>
      </c>
      <c r="L3" s="1">
        <v>302350</v>
      </c>
      <c r="M3" s="1">
        <v>380205</v>
      </c>
      <c r="N3" s="1"/>
      <c r="O3" s="1"/>
      <c r="P3" s="1"/>
      <c r="Q3" s="1"/>
      <c r="R3" s="1"/>
      <c r="S3" s="1">
        <f t="shared" ref="S3:S6" si="1">SUM(F3:I3)</f>
        <v>567993</v>
      </c>
      <c r="T3" s="1">
        <f t="shared" ref="T3:T10" si="2">SUM(J3:M3)</f>
        <v>1138059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t="s">
        <v>10</v>
      </c>
      <c r="B4" s="1"/>
      <c r="C4" s="1"/>
      <c r="D4" s="1"/>
      <c r="E4" s="1"/>
      <c r="F4" s="1">
        <v>975</v>
      </c>
      <c r="G4" s="1">
        <v>965</v>
      </c>
      <c r="H4" s="1">
        <v>862</v>
      </c>
      <c r="I4" s="1">
        <v>933</v>
      </c>
      <c r="J4" s="1">
        <v>1237</v>
      </c>
      <c r="K4" s="1">
        <v>1461</v>
      </c>
      <c r="L4" s="1">
        <v>1768</v>
      </c>
      <c r="M4" s="1">
        <v>2135</v>
      </c>
      <c r="N4" s="1"/>
      <c r="O4" s="1"/>
      <c r="P4" s="1"/>
      <c r="Q4" s="1"/>
      <c r="R4" s="1"/>
      <c r="S4" s="1">
        <f t="shared" si="1"/>
        <v>3735</v>
      </c>
      <c r="T4" s="1">
        <f t="shared" si="2"/>
        <v>6601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t="s">
        <v>11</v>
      </c>
      <c r="B5" s="1"/>
      <c r="C5" s="1"/>
      <c r="D5" s="1"/>
      <c r="E5" s="1"/>
      <c r="F5" s="1">
        <v>4867</v>
      </c>
      <c r="G5" s="1">
        <v>5747</v>
      </c>
      <c r="H5" s="1">
        <v>5187</v>
      </c>
      <c r="I5" s="1">
        <v>5783</v>
      </c>
      <c r="J5" s="1">
        <v>7174</v>
      </c>
      <c r="K5" s="1">
        <v>7790</v>
      </c>
      <c r="L5" s="1">
        <v>7719</v>
      </c>
      <c r="M5" s="1">
        <v>9548</v>
      </c>
      <c r="N5" s="1"/>
      <c r="O5" s="1"/>
      <c r="P5" s="1"/>
      <c r="Q5" s="1"/>
      <c r="R5" s="1"/>
      <c r="S5" s="1">
        <f t="shared" si="1"/>
        <v>21584</v>
      </c>
      <c r="T5" s="1">
        <f t="shared" si="2"/>
        <v>32231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 t="s">
        <v>12</v>
      </c>
      <c r="B6" s="4"/>
      <c r="C6" s="4"/>
      <c r="D6" s="4"/>
      <c r="E6" s="4"/>
      <c r="F6" s="4">
        <f t="shared" ref="F6:M6" si="3">SUM(F3:F5)</f>
        <v>77064</v>
      </c>
      <c r="G6" s="4">
        <f t="shared" si="3"/>
        <v>96284</v>
      </c>
      <c r="H6" s="4">
        <f t="shared" si="3"/>
        <v>175552</v>
      </c>
      <c r="I6" s="4">
        <f t="shared" si="3"/>
        <v>244412</v>
      </c>
      <c r="J6" s="4">
        <f t="shared" si="3"/>
        <v>206312</v>
      </c>
      <c r="K6" s="4">
        <f t="shared" si="3"/>
        <v>266854</v>
      </c>
      <c r="L6" s="4">
        <f t="shared" si="3"/>
        <v>311837</v>
      </c>
      <c r="M6" s="4">
        <f t="shared" si="3"/>
        <v>391888</v>
      </c>
      <c r="N6" s="4"/>
      <c r="O6" s="5" t="s">
        <v>82</v>
      </c>
      <c r="P6" s="5"/>
      <c r="Q6" s="4"/>
      <c r="R6" s="4"/>
      <c r="S6" s="4">
        <f t="shared" si="1"/>
        <v>593312</v>
      </c>
      <c r="T6" s="4">
        <f t="shared" si="2"/>
        <v>1176891</v>
      </c>
      <c r="U6" s="4">
        <f>+T6*1.01</f>
        <v>1188659.9099999999</v>
      </c>
      <c r="V6" s="4">
        <f t="shared" ref="V6:W6" si="4">+U6*1.02</f>
        <v>1212433.1081999999</v>
      </c>
      <c r="W6" s="4">
        <f t="shared" si="4"/>
        <v>1236681.770364</v>
      </c>
      <c r="X6" s="4">
        <f>+W6*1.01</f>
        <v>1249048.5880676401</v>
      </c>
      <c r="Y6" s="4">
        <f t="shared" ref="Y6:AI6" si="5">+X6*1.01</f>
        <v>1261539.0739483165</v>
      </c>
      <c r="Z6" s="4">
        <f t="shared" si="5"/>
        <v>1274154.4646877996</v>
      </c>
      <c r="AA6" s="4">
        <f t="shared" si="5"/>
        <v>1286896.0093346776</v>
      </c>
      <c r="AB6" s="4">
        <f t="shared" si="5"/>
        <v>1299764.9694280245</v>
      </c>
      <c r="AC6" s="4">
        <f t="shared" si="5"/>
        <v>1312762.6191223047</v>
      </c>
      <c r="AD6" s="4">
        <f t="shared" si="5"/>
        <v>1325890.2453135278</v>
      </c>
      <c r="AE6" s="4">
        <f t="shared" si="5"/>
        <v>1339149.147766663</v>
      </c>
      <c r="AF6" s="4">
        <f t="shared" si="5"/>
        <v>1352540.6392443296</v>
      </c>
      <c r="AG6" s="4">
        <f t="shared" si="5"/>
        <v>1366066.0456367729</v>
      </c>
      <c r="AH6" s="4">
        <f t="shared" si="5"/>
        <v>1379726.7060931406</v>
      </c>
      <c r="AI6" s="4">
        <f t="shared" si="5"/>
        <v>1393523.973154072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t="s">
        <v>9</v>
      </c>
      <c r="B7" s="1"/>
      <c r="C7" s="1"/>
      <c r="D7" s="1"/>
      <c r="E7" s="1"/>
      <c r="F7" s="1">
        <v>56485</v>
      </c>
      <c r="G7" s="1">
        <v>71975</v>
      </c>
      <c r="H7" s="1">
        <v>136015</v>
      </c>
      <c r="I7" s="1">
        <v>199704</v>
      </c>
      <c r="J7" s="1">
        <v>160931</v>
      </c>
      <c r="K7" s="1">
        <v>213060</v>
      </c>
      <c r="L7" s="1">
        <v>244660</v>
      </c>
      <c r="M7" s="1">
        <v>321425</v>
      </c>
      <c r="N7" s="1"/>
      <c r="O7" s="1" t="s">
        <v>81</v>
      </c>
      <c r="P7" s="1"/>
      <c r="Q7" s="1"/>
      <c r="R7" s="4"/>
      <c r="S7" s="1">
        <f t="shared" ref="S7:S13" si="6">SUM(F7:I7)</f>
        <v>464179</v>
      </c>
      <c r="T7" s="1">
        <f t="shared" si="2"/>
        <v>940076</v>
      </c>
      <c r="U7" s="4"/>
      <c r="V7" s="1" t="s">
        <v>7</v>
      </c>
      <c r="W7" s="4"/>
      <c r="X7" s="4"/>
      <c r="Y7" s="4"/>
      <c r="Z7" s="4"/>
      <c r="AA7" s="4"/>
      <c r="AB7" s="4"/>
      <c r="AC7" s="4"/>
      <c r="AD7" s="4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t="s">
        <v>10</v>
      </c>
      <c r="B8" s="1"/>
      <c r="C8" s="1"/>
      <c r="D8" s="1"/>
      <c r="E8" s="1"/>
      <c r="F8" s="1">
        <v>810</v>
      </c>
      <c r="G8" s="1">
        <v>1145</v>
      </c>
      <c r="H8" s="1">
        <v>1269</v>
      </c>
      <c r="I8" s="1">
        <v>1166</v>
      </c>
      <c r="J8" s="1">
        <v>1671</v>
      </c>
      <c r="K8" s="1">
        <v>2106</v>
      </c>
      <c r="L8" s="1">
        <v>3603</v>
      </c>
      <c r="M8" s="1">
        <v>1842</v>
      </c>
      <c r="N8" s="1"/>
      <c r="O8" s="1" t="s">
        <v>66</v>
      </c>
      <c r="P8" s="6">
        <v>0.02</v>
      </c>
      <c r="Q8" s="1"/>
      <c r="R8" s="4"/>
      <c r="S8" s="1">
        <f t="shared" si="6"/>
        <v>4390</v>
      </c>
      <c r="T8" s="1">
        <f t="shared" si="2"/>
        <v>9222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25">
      <c r="A9" t="s">
        <v>11</v>
      </c>
      <c r="B9" s="1"/>
      <c r="C9" s="1"/>
      <c r="D9" s="1"/>
      <c r="E9" s="1"/>
      <c r="F9" s="1">
        <v>5301</v>
      </c>
      <c r="G9" s="1">
        <v>6258</v>
      </c>
      <c r="H9" s="1">
        <v>6724</v>
      </c>
      <c r="I9" s="1">
        <v>6813</v>
      </c>
      <c r="J9" s="1">
        <v>8516</v>
      </c>
      <c r="K9" s="1">
        <v>8841</v>
      </c>
      <c r="L9" s="1">
        <v>10665</v>
      </c>
      <c r="M9" s="1">
        <v>9832</v>
      </c>
      <c r="N9" s="1"/>
      <c r="O9" s="4" t="s">
        <v>65</v>
      </c>
      <c r="P9" s="5">
        <v>0.09</v>
      </c>
      <c r="Q9" s="1"/>
      <c r="R9" s="4"/>
      <c r="S9" s="1">
        <f t="shared" si="6"/>
        <v>25096</v>
      </c>
      <c r="T9" s="1">
        <f t="shared" si="2"/>
        <v>37854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2" t="s">
        <v>25</v>
      </c>
      <c r="B10" s="4"/>
      <c r="C10" s="4"/>
      <c r="D10" s="4"/>
      <c r="E10" s="4"/>
      <c r="F10" s="4">
        <f t="shared" ref="F10:M10" si="7">SUM(F7:F9)</f>
        <v>62596</v>
      </c>
      <c r="G10" s="4">
        <f t="shared" si="7"/>
        <v>79378</v>
      </c>
      <c r="H10" s="4">
        <f t="shared" si="7"/>
        <v>144008</v>
      </c>
      <c r="I10" s="4">
        <f t="shared" si="7"/>
        <v>207683</v>
      </c>
      <c r="J10" s="4">
        <f t="shared" si="7"/>
        <v>171118</v>
      </c>
      <c r="K10" s="4">
        <f t="shared" si="7"/>
        <v>224007</v>
      </c>
      <c r="L10" s="4">
        <f t="shared" si="7"/>
        <v>258928</v>
      </c>
      <c r="M10" s="4">
        <f t="shared" si="7"/>
        <v>333099</v>
      </c>
      <c r="N10" s="4"/>
      <c r="O10" s="1" t="s">
        <v>60</v>
      </c>
      <c r="P10" s="1">
        <f>NPV(P9,U6,AI6)</f>
        <v>2263414.927240192</v>
      </c>
      <c r="Q10" s="4"/>
      <c r="R10" s="4"/>
      <c r="S10" s="4">
        <f t="shared" si="6"/>
        <v>493665</v>
      </c>
      <c r="T10" s="4">
        <f t="shared" si="2"/>
        <v>987152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2" t="s">
        <v>26</v>
      </c>
      <c r="B11" s="4"/>
      <c r="C11" s="4"/>
      <c r="D11" s="4"/>
      <c r="E11" s="4"/>
      <c r="F11" s="4">
        <f t="shared" ref="F11:S11" si="8">+F6-F10</f>
        <v>14468</v>
      </c>
      <c r="G11" s="4">
        <f t="shared" si="8"/>
        <v>16906</v>
      </c>
      <c r="H11" s="4">
        <f t="shared" si="8"/>
        <v>31544</v>
      </c>
      <c r="I11" s="4">
        <f t="shared" si="8"/>
        <v>36729</v>
      </c>
      <c r="J11" s="4">
        <f t="shared" si="8"/>
        <v>35194</v>
      </c>
      <c r="K11" s="4">
        <f t="shared" si="8"/>
        <v>42847</v>
      </c>
      <c r="L11" s="4">
        <f t="shared" si="8"/>
        <v>52909</v>
      </c>
      <c r="M11" s="4">
        <f t="shared" si="8"/>
        <v>58789</v>
      </c>
      <c r="N11" s="4"/>
      <c r="O11" s="1" t="s">
        <v>64</v>
      </c>
      <c r="P11" s="1">
        <f>+P10+main!K8</f>
        <v>2264535.410240192</v>
      </c>
      <c r="Q11" s="4"/>
      <c r="R11" s="1"/>
      <c r="S11" s="4">
        <f t="shared" si="8"/>
        <v>99647</v>
      </c>
      <c r="T11" s="4">
        <f t="shared" ref="T11" si="9">+T6-T10</f>
        <v>189739</v>
      </c>
      <c r="U11" s="1"/>
      <c r="V11" s="1"/>
      <c r="W11" s="6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t="s">
        <v>27</v>
      </c>
      <c r="B12" s="1"/>
      <c r="C12" s="1"/>
      <c r="D12" s="1"/>
      <c r="E12" s="1"/>
      <c r="F12" s="1">
        <v>22184</v>
      </c>
      <c r="G12" s="1">
        <v>23355</v>
      </c>
      <c r="H12" s="1">
        <v>35140</v>
      </c>
      <c r="I12" s="1">
        <v>43462</v>
      </c>
      <c r="J12" s="1">
        <v>50740</v>
      </c>
      <c r="K12" s="1">
        <v>49666</v>
      </c>
      <c r="L12" s="1">
        <v>48845</v>
      </c>
      <c r="M12" s="1">
        <v>45791</v>
      </c>
      <c r="N12" s="1"/>
      <c r="O12" s="4" t="s">
        <v>61</v>
      </c>
      <c r="P12" s="4">
        <f>+P11/main!K4</f>
        <v>4068.7196090356538</v>
      </c>
      <c r="Q12" s="1"/>
      <c r="R12" s="1"/>
      <c r="S12" s="1">
        <f t="shared" si="6"/>
        <v>124141</v>
      </c>
      <c r="T12" s="1">
        <f t="shared" ref="T12:T18" si="10">SUM(J12:M12)</f>
        <v>195042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t="s">
        <v>28</v>
      </c>
      <c r="B13" s="1"/>
      <c r="C13" s="1"/>
      <c r="D13" s="1"/>
      <c r="E13" s="1"/>
      <c r="F13" s="1">
        <v>15359</v>
      </c>
      <c r="G13" s="1">
        <v>23512</v>
      </c>
      <c r="H13" s="1">
        <v>29435</v>
      </c>
      <c r="I13" s="1">
        <v>47575</v>
      </c>
      <c r="J13" s="1">
        <v>54023</v>
      </c>
      <c r="K13" s="1">
        <v>50898</v>
      </c>
      <c r="L13" s="1">
        <v>46073</v>
      </c>
      <c r="M13" s="1">
        <v>66933</v>
      </c>
      <c r="N13" s="1"/>
      <c r="O13" s="1" t="s">
        <v>63</v>
      </c>
      <c r="P13" s="1">
        <v>58</v>
      </c>
      <c r="Q13" s="1"/>
      <c r="R13" s="1"/>
      <c r="S13" s="1">
        <f t="shared" si="6"/>
        <v>115881</v>
      </c>
      <c r="T13" s="1">
        <f t="shared" si="10"/>
        <v>217927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t="s">
        <v>29</v>
      </c>
      <c r="B14" s="1"/>
      <c r="C14" s="1"/>
      <c r="D14" s="1"/>
      <c r="E14" s="1"/>
      <c r="F14" s="1">
        <f t="shared" ref="F14:S14" si="11">+F12+F13</f>
        <v>37543</v>
      </c>
      <c r="G14" s="1">
        <f t="shared" si="11"/>
        <v>46867</v>
      </c>
      <c r="H14" s="1">
        <f t="shared" si="11"/>
        <v>64575</v>
      </c>
      <c r="I14" s="1">
        <f t="shared" si="11"/>
        <v>91037</v>
      </c>
      <c r="J14" s="1">
        <f t="shared" si="11"/>
        <v>104763</v>
      </c>
      <c r="K14" s="1">
        <f t="shared" si="11"/>
        <v>100564</v>
      </c>
      <c r="L14" s="1">
        <f t="shared" si="11"/>
        <v>94918</v>
      </c>
      <c r="M14" s="1">
        <f t="shared" si="11"/>
        <v>112724</v>
      </c>
      <c r="N14" s="1"/>
      <c r="O14" s="6" t="s">
        <v>62</v>
      </c>
      <c r="P14" s="6">
        <f>+P13/P12-1</f>
        <v>-0.98574490120400637</v>
      </c>
      <c r="Q14" s="1"/>
      <c r="R14" s="1"/>
      <c r="S14" s="1">
        <f t="shared" si="11"/>
        <v>240022</v>
      </c>
      <c r="T14" s="1">
        <f t="shared" si="10"/>
        <v>412969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t="s">
        <v>36</v>
      </c>
      <c r="B15" s="1"/>
      <c r="C15" s="1"/>
      <c r="D15" s="1"/>
      <c r="E15" s="1"/>
      <c r="F15" s="1">
        <f t="shared" ref="F15:S15" si="12">+F11-F14</f>
        <v>-23075</v>
      </c>
      <c r="G15" s="1">
        <f t="shared" si="12"/>
        <v>-29961</v>
      </c>
      <c r="H15" s="1">
        <f t="shared" si="12"/>
        <v>-33031</v>
      </c>
      <c r="I15" s="1">
        <f t="shared" si="12"/>
        <v>-54308</v>
      </c>
      <c r="J15" s="1">
        <f t="shared" si="12"/>
        <v>-69569</v>
      </c>
      <c r="K15" s="1">
        <f t="shared" si="12"/>
        <v>-57717</v>
      </c>
      <c r="L15" s="1">
        <f t="shared" si="12"/>
        <v>-42009</v>
      </c>
      <c r="M15" s="1">
        <f t="shared" si="12"/>
        <v>-53935</v>
      </c>
      <c r="N15" s="1"/>
      <c r="O15" s="1"/>
      <c r="P15" s="1"/>
      <c r="Q15" s="1"/>
      <c r="R15" s="1"/>
      <c r="S15" s="1">
        <f t="shared" si="12"/>
        <v>-140375</v>
      </c>
      <c r="T15" s="1">
        <f t="shared" si="10"/>
        <v>-223230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t="s">
        <v>30</v>
      </c>
      <c r="B16" s="1"/>
      <c r="C16" s="1"/>
      <c r="D16" s="1"/>
      <c r="E16" s="1"/>
      <c r="F16" s="1"/>
      <c r="G16" s="1" t="s">
        <v>7</v>
      </c>
      <c r="H16" s="1"/>
      <c r="I16" s="1">
        <v>1083</v>
      </c>
      <c r="J16" s="1"/>
      <c r="K16" s="1">
        <v>4192</v>
      </c>
      <c r="L16" s="1">
        <v>2974</v>
      </c>
      <c r="M16" s="1">
        <v>4192</v>
      </c>
      <c r="N16" s="1"/>
      <c r="O16" s="1"/>
      <c r="P16" s="1"/>
      <c r="Q16" s="1"/>
      <c r="R16" s="1"/>
      <c r="S16" s="1">
        <f t="shared" ref="S16:S18" si="13">SUM(F16:I16)</f>
        <v>1083</v>
      </c>
      <c r="T16" s="1">
        <f t="shared" si="10"/>
        <v>11358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t="s">
        <v>31</v>
      </c>
      <c r="B17" s="1"/>
      <c r="C17" s="1"/>
      <c r="D17" s="1"/>
      <c r="E17" s="1"/>
      <c r="F17" s="1">
        <v>23053</v>
      </c>
      <c r="G17" s="1">
        <v>29903</v>
      </c>
      <c r="H17" s="1">
        <v>32875</v>
      </c>
      <c r="I17" s="1">
        <v>53258</v>
      </c>
      <c r="J17" s="1">
        <v>67735</v>
      </c>
      <c r="K17" s="1">
        <v>55433</v>
      </c>
      <c r="L17" s="1">
        <v>39072</v>
      </c>
      <c r="M17" s="1">
        <v>50274</v>
      </c>
      <c r="N17" s="1"/>
      <c r="O17" s="1"/>
      <c r="P17" s="1"/>
      <c r="Q17" s="1"/>
      <c r="R17" s="1"/>
      <c r="S17" s="1">
        <f t="shared" si="13"/>
        <v>139089</v>
      </c>
      <c r="T17" s="1">
        <f t="shared" si="10"/>
        <v>212514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t="s">
        <v>32</v>
      </c>
      <c r="B18" s="1"/>
      <c r="C18" s="1"/>
      <c r="D18" s="1"/>
      <c r="E18" s="1"/>
      <c r="F18" s="1">
        <v>-251</v>
      </c>
      <c r="G18" s="1" t="s">
        <v>7</v>
      </c>
      <c r="H18" s="1"/>
      <c r="I18" s="1"/>
      <c r="J18" s="1">
        <v>-251</v>
      </c>
      <c r="K18" s="1">
        <v>17</v>
      </c>
      <c r="L18" s="1">
        <v>-5</v>
      </c>
      <c r="M18" s="1">
        <v>4859</v>
      </c>
      <c r="N18" s="1"/>
      <c r="O18" s="1"/>
      <c r="P18" s="1"/>
      <c r="Q18" s="1"/>
      <c r="R18" s="1"/>
      <c r="S18" s="1">
        <f t="shared" si="13"/>
        <v>-251</v>
      </c>
      <c r="T18" s="1">
        <f t="shared" si="10"/>
        <v>4620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 t="s">
        <v>35</v>
      </c>
      <c r="B19" s="4"/>
      <c r="C19" s="4"/>
      <c r="D19" s="4"/>
      <c r="E19" s="4"/>
      <c r="F19" s="4">
        <f t="shared" ref="F19:S19" si="14">+F17-F18</f>
        <v>23304</v>
      </c>
      <c r="G19" s="4">
        <v>29903</v>
      </c>
      <c r="H19" s="4">
        <f t="shared" si="14"/>
        <v>32875</v>
      </c>
      <c r="I19" s="4">
        <f t="shared" si="14"/>
        <v>53258</v>
      </c>
      <c r="J19" s="4">
        <f t="shared" si="14"/>
        <v>67986</v>
      </c>
      <c r="K19" s="4">
        <f t="shared" si="14"/>
        <v>55416</v>
      </c>
      <c r="L19" s="4">
        <f t="shared" si="14"/>
        <v>39077</v>
      </c>
      <c r="M19" s="4">
        <f t="shared" si="14"/>
        <v>45415</v>
      </c>
      <c r="N19" s="4"/>
      <c r="O19" s="4"/>
      <c r="P19" s="4"/>
      <c r="Q19" s="4"/>
      <c r="R19" s="4"/>
      <c r="S19" s="4">
        <f t="shared" si="14"/>
        <v>139340</v>
      </c>
      <c r="T19" s="4">
        <f t="shared" ref="T19" si="15">+T17-T18</f>
        <v>207894</v>
      </c>
      <c r="U19" s="4"/>
      <c r="V19" s="4" t="s">
        <v>7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1"/>
      <c r="BB19" s="1"/>
      <c r="BC19" s="1"/>
      <c r="BD19" s="1"/>
    </row>
    <row r="20" spans="1:56" x14ac:dyDescent="0.25">
      <c r="A20" t="s">
        <v>33</v>
      </c>
      <c r="B20" s="1"/>
      <c r="C20" s="1"/>
      <c r="D20" s="1"/>
      <c r="E20" s="17"/>
      <c r="F20" s="9"/>
      <c r="G20" s="10" t="s">
        <v>7</v>
      </c>
      <c r="H20" s="11"/>
      <c r="I20" s="10">
        <f>+I19/I21</f>
        <v>0.97184510462726958</v>
      </c>
      <c r="J20" s="10">
        <f>+J19/J21</f>
        <v>1.1674321160702201</v>
      </c>
      <c r="K20" s="10">
        <f>+K19/K21</f>
        <v>0.91591972308072256</v>
      </c>
      <c r="L20" s="10">
        <f>+L19/L21</f>
        <v>0.63248906825103635</v>
      </c>
      <c r="M20" s="10">
        <f>+M19/M21</f>
        <v>0.59739726842055696</v>
      </c>
      <c r="N20" s="10"/>
      <c r="O20" s="10"/>
      <c r="P20" s="10"/>
      <c r="Q20" s="10"/>
      <c r="R20" s="12" t="s">
        <v>42</v>
      </c>
      <c r="S20" s="10">
        <f>+S19/S21</f>
        <v>2.1302169973964618</v>
      </c>
      <c r="T20" s="10">
        <f>+T19/T21</f>
        <v>3.2414689236246796</v>
      </c>
      <c r="U20" s="13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t="s">
        <v>34</v>
      </c>
      <c r="B21" s="1"/>
      <c r="C21" s="1"/>
      <c r="D21" s="1"/>
      <c r="E21" s="1"/>
      <c r="F21" s="18" t="s">
        <v>7</v>
      </c>
      <c r="G21" s="15">
        <v>76021.438999999998</v>
      </c>
      <c r="H21" s="14" t="s">
        <v>7</v>
      </c>
      <c r="I21" s="15">
        <v>54800.913999999997</v>
      </c>
      <c r="J21" s="15">
        <v>58235.506000000001</v>
      </c>
      <c r="K21" s="15">
        <v>60503.118999999999</v>
      </c>
      <c r="L21" s="15">
        <v>61782.885999999999</v>
      </c>
      <c r="M21" s="15">
        <v>76021.438999999998</v>
      </c>
      <c r="N21" s="15"/>
      <c r="O21" s="15"/>
      <c r="P21" s="15"/>
      <c r="Q21" s="15"/>
      <c r="R21" s="15"/>
      <c r="S21" s="15">
        <f>AVERAGE(F21:I21)</f>
        <v>65411.176500000001</v>
      </c>
      <c r="T21" s="15">
        <f>AVERAGE(J21:M21)</f>
        <v>64135.737500000003</v>
      </c>
      <c r="U21" s="16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5" t="s">
        <v>7</v>
      </c>
      <c r="U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s="2" customFormat="1" x14ac:dyDescent="0.25">
      <c r="A24" s="2" t="s">
        <v>37</v>
      </c>
      <c r="B24" s="4"/>
      <c r="C24" s="4"/>
      <c r="D24" s="4"/>
      <c r="E24" s="4"/>
      <c r="F24" s="4"/>
      <c r="G24" s="4"/>
      <c r="H24" s="4"/>
      <c r="I24" s="4"/>
      <c r="J24" s="5">
        <f t="shared" ref="J24:K24" si="16">+J6/F6-1</f>
        <v>1.6771514585279768</v>
      </c>
      <c r="K24" s="5">
        <f t="shared" si="16"/>
        <v>1.7715300569149601</v>
      </c>
      <c r="L24" s="5">
        <f>+L6/H6-1</f>
        <v>0.77632268501640533</v>
      </c>
      <c r="M24" s="5">
        <f>+M6/I6-1</f>
        <v>0.60339099553213416</v>
      </c>
      <c r="N24" s="5"/>
      <c r="O24" s="5"/>
      <c r="P24" s="5"/>
      <c r="Q24" s="5"/>
      <c r="R24" s="4" t="s">
        <v>7</v>
      </c>
      <c r="S24" s="4"/>
      <c r="T24" s="5">
        <f>+T6/S6-1</f>
        <v>0.98359547759020538</v>
      </c>
      <c r="U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</row>
    <row r="25" spans="1:56" x14ac:dyDescent="0.25">
      <c r="A25" t="s">
        <v>38</v>
      </c>
      <c r="B25" s="1"/>
      <c r="C25" s="1"/>
      <c r="D25" s="1"/>
      <c r="E25" s="1"/>
      <c r="F25" s="1"/>
      <c r="G25" s="1"/>
      <c r="H25" s="1"/>
      <c r="I25" s="1"/>
      <c r="J25" s="6">
        <f>+J12/F12-1</f>
        <v>1.2872340425531914</v>
      </c>
      <c r="K25" s="6">
        <f t="shared" ref="K25:M25" si="17">+K12/G12-1</f>
        <v>1.1265681866837935</v>
      </c>
      <c r="L25" s="6">
        <f t="shared" si="17"/>
        <v>0.39001138303927152</v>
      </c>
      <c r="M25" s="6">
        <f t="shared" si="17"/>
        <v>5.3587041553541104E-2</v>
      </c>
      <c r="N25" s="6"/>
      <c r="O25" s="6"/>
      <c r="P25" s="6"/>
      <c r="Q25" s="6"/>
      <c r="R25" s="1"/>
      <c r="S25" s="1"/>
      <c r="T25" s="6">
        <f>+T12/S12-1</f>
        <v>0.57113282477183214</v>
      </c>
      <c r="U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t="s">
        <v>39</v>
      </c>
      <c r="B26" s="1"/>
      <c r="C26" s="1"/>
      <c r="D26" s="1"/>
      <c r="E26" s="1"/>
      <c r="F26" s="1"/>
      <c r="G26" s="1"/>
      <c r="H26" s="1"/>
      <c r="I26" s="1"/>
      <c r="J26" s="6">
        <f>+J13/F13-1</f>
        <v>2.5173513900644573</v>
      </c>
      <c r="K26" s="6">
        <f t="shared" ref="K26:M26" si="18">+K13/G13-1</f>
        <v>1.1647669275263697</v>
      </c>
      <c r="L26" s="6">
        <f t="shared" si="18"/>
        <v>0.56524545608968912</v>
      </c>
      <c r="M26" s="6">
        <f t="shared" si="18"/>
        <v>0.40689437729900169</v>
      </c>
      <c r="N26" s="6"/>
      <c r="O26" s="6"/>
      <c r="P26" s="6"/>
      <c r="Q26" s="6"/>
      <c r="R26" s="1"/>
      <c r="S26" s="1"/>
      <c r="T26" s="6">
        <f>+T13/S13-1</f>
        <v>0.88061028123678597</v>
      </c>
      <c r="U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5">
      <c r="A27" s="2" t="s">
        <v>40</v>
      </c>
      <c r="B27" s="4"/>
      <c r="C27" s="4"/>
      <c r="D27" s="4"/>
      <c r="E27" s="4"/>
      <c r="F27" s="4"/>
      <c r="G27" s="4"/>
      <c r="H27" s="4" t="s">
        <v>7</v>
      </c>
      <c r="I27" s="4"/>
      <c r="J27" s="5">
        <f>+J6/F6-1</f>
        <v>1.6771514585279768</v>
      </c>
      <c r="K27" s="5">
        <f t="shared" ref="K27:M27" si="19">+K6/G6-1</f>
        <v>1.7715300569149601</v>
      </c>
      <c r="L27" s="5">
        <f t="shared" si="19"/>
        <v>0.77632268501640533</v>
      </c>
      <c r="M27" s="5">
        <f t="shared" si="19"/>
        <v>0.60339099553213416</v>
      </c>
      <c r="N27" s="5"/>
      <c r="Q27" s="5"/>
      <c r="R27" s="4"/>
      <c r="S27" s="4"/>
      <c r="T27" s="5">
        <f>+T6/S6-1</f>
        <v>0.98359547759020538</v>
      </c>
      <c r="U27" s="4"/>
      <c r="X27" s="4"/>
      <c r="Y27" s="4"/>
      <c r="Z27" s="4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25">
      <c r="B28" s="1"/>
      <c r="C28" s="1"/>
      <c r="D28" s="1"/>
      <c r="E28" s="1"/>
      <c r="F28" s="1"/>
      <c r="G28" s="1"/>
      <c r="H28" s="1" t="s">
        <v>41</v>
      </c>
      <c r="I28" s="1"/>
      <c r="J28" s="1"/>
      <c r="K28" s="1"/>
      <c r="L28" s="1"/>
      <c r="M28" s="1"/>
      <c r="N28" s="1"/>
      <c r="Q28" s="1"/>
      <c r="R28" s="1"/>
      <c r="S28" s="1"/>
      <c r="T28" s="1"/>
      <c r="U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t="s">
        <v>83</v>
      </c>
      <c r="B29" s="1"/>
      <c r="C29" s="1"/>
      <c r="D29" s="1"/>
      <c r="E29" s="1"/>
      <c r="F29" s="6">
        <f>+F11/F6</f>
        <v>0.18774006020969583</v>
      </c>
      <c r="G29" s="6">
        <f t="shared" ref="G29:T29" si="20">+G11/G6</f>
        <v>0.17558472851148685</v>
      </c>
      <c r="H29" s="6">
        <f t="shared" si="20"/>
        <v>0.17968465184104995</v>
      </c>
      <c r="I29" s="6">
        <f t="shared" si="20"/>
        <v>0.15027494558368656</v>
      </c>
      <c r="J29" s="6">
        <f t="shared" si="20"/>
        <v>0.17058629648299661</v>
      </c>
      <c r="K29" s="6">
        <f t="shared" si="20"/>
        <v>0.16056345417344314</v>
      </c>
      <c r="L29" s="6">
        <f t="shared" si="20"/>
        <v>0.16966876926086386</v>
      </c>
      <c r="M29" s="6">
        <f t="shared" si="20"/>
        <v>0.15001480014698076</v>
      </c>
      <c r="N29" s="6"/>
      <c r="Q29" s="6"/>
      <c r="R29" s="6" t="s">
        <v>7</v>
      </c>
      <c r="S29" s="8">
        <f t="shared" si="20"/>
        <v>0.1679504206892832</v>
      </c>
      <c r="T29" s="8">
        <f t="shared" si="20"/>
        <v>0.16122053784080259</v>
      </c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t="s">
        <v>84</v>
      </c>
      <c r="B30" s="1"/>
      <c r="C30" s="1"/>
      <c r="D30" s="1"/>
      <c r="E30" s="1"/>
      <c r="F30" s="7">
        <f>+F18/F17</f>
        <v>-1.0887953845486487E-2</v>
      </c>
      <c r="G30" s="6" t="s">
        <v>7</v>
      </c>
      <c r="H30" s="6" t="s">
        <v>7</v>
      </c>
      <c r="I30" s="6" t="s">
        <v>7</v>
      </c>
      <c r="J30" s="7">
        <f t="shared" ref="J30" si="21">+J18/J17</f>
        <v>-3.7056174798848454E-3</v>
      </c>
      <c r="K30" s="6">
        <f t="shared" ref="K30:T30" si="22">+K18/K17</f>
        <v>3.0667652842169825E-4</v>
      </c>
      <c r="L30" s="6">
        <f t="shared" si="22"/>
        <v>-1.2796887796887797E-4</v>
      </c>
      <c r="M30" s="6">
        <f t="shared" si="22"/>
        <v>9.665035604885229E-2</v>
      </c>
      <c r="N30" s="6"/>
      <c r="Q30" s="6"/>
      <c r="R30" s="6" t="s">
        <v>7</v>
      </c>
      <c r="S30" s="8">
        <f t="shared" si="22"/>
        <v>-1.804599932417373E-3</v>
      </c>
      <c r="T30" s="8">
        <f t="shared" si="22"/>
        <v>2.1739744205087664E-2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t="s">
        <v>85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t="s">
        <v>67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t="s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>
        <v>258770</v>
      </c>
      <c r="N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t="s">
        <v>67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69206</v>
      </c>
      <c r="N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t="s">
        <v>68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>
        <v>121149</v>
      </c>
      <c r="N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25">
      <c r="A36" t="s">
        <v>69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>
        <v>136121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A37" t="s">
        <v>70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>
        <v>34577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25">
      <c r="A38" t="s">
        <v>74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>
        <v>34507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t="s">
        <v>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>
        <v>85236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t="s">
        <v>72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>
        <v>217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t="s">
        <v>73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>
        <v>24191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t="s">
        <v>75</v>
      </c>
      <c r="M43" s="1">
        <v>109918</v>
      </c>
      <c r="N43" s="1"/>
      <c r="O43" s="1"/>
      <c r="P43" s="1"/>
      <c r="Q43" s="1"/>
    </row>
    <row r="44" spans="1:56" x14ac:dyDescent="0.25">
      <c r="A44" t="s">
        <v>76</v>
      </c>
      <c r="M44" s="1">
        <v>99992</v>
      </c>
      <c r="N44" s="1"/>
      <c r="O44" s="1"/>
      <c r="P44" s="1"/>
      <c r="Q44" s="1"/>
    </row>
    <row r="45" spans="1:56" x14ac:dyDescent="0.25">
      <c r="A45" t="s">
        <v>77</v>
      </c>
      <c r="M45" s="1">
        <v>28322</v>
      </c>
      <c r="N45" s="1"/>
      <c r="O45" s="1"/>
      <c r="P45" s="1"/>
      <c r="Q45" s="1"/>
    </row>
    <row r="46" spans="1:56" x14ac:dyDescent="0.25">
      <c r="A46" t="s">
        <v>78</v>
      </c>
      <c r="M46" s="1">
        <v>787227</v>
      </c>
      <c r="N46" s="1"/>
      <c r="O46" s="1"/>
      <c r="P46" s="1"/>
      <c r="Q46" s="1"/>
    </row>
    <row r="47" spans="1:56" x14ac:dyDescent="0.25">
      <c r="A47" t="s">
        <v>79</v>
      </c>
      <c r="M47" s="1">
        <v>27967</v>
      </c>
      <c r="N47" s="1"/>
      <c r="O47" s="1"/>
      <c r="P47" s="1"/>
      <c r="Q47" s="1"/>
    </row>
    <row r="49" spans="1:1" x14ac:dyDescent="0.25">
      <c r="A49" t="s">
        <v>80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CBFEB144F63F4E9EB43CF067A3FDD2" ma:contentTypeVersion="6" ma:contentTypeDescription="Criar um novo documento." ma:contentTypeScope="" ma:versionID="a69c8557812fdce02e4884327d4021cd">
  <xsd:schema xmlns:xsd="http://www.w3.org/2001/XMLSchema" xmlns:xs="http://www.w3.org/2001/XMLSchema" xmlns:p="http://schemas.microsoft.com/office/2006/metadata/properties" xmlns:ns3="de0fd296-9832-4e10-a7ad-2bcee574d3b0" xmlns:ns4="02570eab-4ecf-4bb5-b806-a666b23f79b6" targetNamespace="http://schemas.microsoft.com/office/2006/metadata/properties" ma:root="true" ma:fieldsID="df2c335e9af1861dda24e1cd6a142658" ns3:_="" ns4:_="">
    <xsd:import namespace="de0fd296-9832-4e10-a7ad-2bcee574d3b0"/>
    <xsd:import namespace="02570eab-4ecf-4bb5-b806-a666b23f79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fd296-9832-4e10-a7ad-2bcee574d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70eab-4ecf-4bb5-b806-a666b23f79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70BECF-B16F-4B11-9BAC-5129DEC1199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02570eab-4ecf-4bb5-b806-a666b23f79b6"/>
    <ds:schemaRef ds:uri="http://schemas.openxmlformats.org/package/2006/metadata/core-properties"/>
    <ds:schemaRef ds:uri="http://schemas.microsoft.com/office/infopath/2007/PartnerControls"/>
    <ds:schemaRef ds:uri="de0fd296-9832-4e10-a7ad-2bcee574d3b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C367960-153C-4EC3-9852-5C7D3E5661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12120D-3BA8-4560-803B-D3A020164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0fd296-9832-4e10-a7ad-2bcee574d3b0"/>
    <ds:schemaRef ds:uri="02570eab-4ecf-4bb5-b806-a666b23f79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2023-11-21T15:30:15Z</dcterms:created>
  <dcterms:modified xsi:type="dcterms:W3CDTF">2024-09-29T21:40:52Z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0x01010078CBFEB144F63F4E9EB43CF067A3FDD2</vt:lpwstr>
  </property>
</Properties>
</file>