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428" documentId="11_FE4855BF84DCCE436F107A399131F45B7AFB1D1F" xr6:coauthVersionLast="47" xr6:coauthVersionMax="47" xr10:uidLastSave="{BC63C285-3EB3-4A45-ADA4-87F0BA7DEBBF}"/>
  <bookViews>
    <workbookView xWindow="240" yWindow="105" windowWidth="14805" windowHeight="8010" firstSheet="1" activeTab="1" xr2:uid="{00000000-000D-0000-FFFF-FFFF00000000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9" i="2" l="1"/>
  <c r="U59" i="2"/>
  <c r="T59" i="2"/>
  <c r="W59" i="2"/>
  <c r="AE3" i="2"/>
  <c r="AF3" i="2"/>
  <c r="AG3" i="2"/>
  <c r="AH3" i="2"/>
  <c r="AD3" i="2"/>
  <c r="Y3" i="2"/>
  <c r="Z3" i="2" s="1"/>
  <c r="AA3" i="2" s="1"/>
  <c r="AB3" i="2" s="1"/>
  <c r="AC3" i="2" s="1"/>
  <c r="X3" i="2"/>
  <c r="Y7" i="2"/>
  <c r="Z7" i="2" s="1"/>
  <c r="AA7" i="2" s="1"/>
  <c r="AB7" i="2" s="1"/>
  <c r="AC7" i="2" s="1"/>
  <c r="AD7" i="2" s="1"/>
  <c r="AE7" i="2" s="1"/>
  <c r="AF7" i="2" s="1"/>
  <c r="AG7" i="2" s="1"/>
  <c r="AH7" i="2" s="1"/>
  <c r="X7" i="2"/>
  <c r="L24" i="2"/>
  <c r="K24" i="2"/>
  <c r="J24" i="2"/>
  <c r="M24" i="2"/>
  <c r="W11" i="2"/>
  <c r="W9" i="2"/>
  <c r="W5" i="2"/>
  <c r="W10" i="2" s="1"/>
  <c r="W12" i="2" s="1"/>
  <c r="W14" i="2" s="1"/>
  <c r="W15" i="2" s="1"/>
  <c r="V11" i="2"/>
  <c r="V9" i="2"/>
  <c r="V5" i="2"/>
  <c r="V10" i="2" s="1"/>
  <c r="V12" i="2" s="1"/>
  <c r="V14" i="2" s="1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X6" i="2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U21" i="2"/>
  <c r="T21" i="2"/>
  <c r="S21" i="2"/>
  <c r="U20" i="2"/>
  <c r="T20" i="2"/>
  <c r="S20" i="2"/>
  <c r="U19" i="2"/>
  <c r="T19" i="2"/>
  <c r="S19" i="2"/>
  <c r="X16" i="2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M21" i="2"/>
  <c r="L21" i="2"/>
  <c r="K21" i="2"/>
  <c r="J21" i="2"/>
  <c r="I21" i="2"/>
  <c r="H21" i="2"/>
  <c r="G21" i="2"/>
  <c r="M20" i="2"/>
  <c r="L20" i="2"/>
  <c r="K20" i="2"/>
  <c r="J20" i="2"/>
  <c r="I20" i="2"/>
  <c r="H20" i="2"/>
  <c r="G20" i="2"/>
  <c r="M19" i="2"/>
  <c r="L19" i="2"/>
  <c r="K19" i="2"/>
  <c r="J19" i="2"/>
  <c r="I19" i="2"/>
  <c r="H19" i="2"/>
  <c r="G19" i="2"/>
  <c r="F21" i="2"/>
  <c r="F20" i="2"/>
  <c r="F19" i="2"/>
  <c r="F11" i="2"/>
  <c r="F9" i="2"/>
  <c r="F5" i="2"/>
  <c r="J11" i="2"/>
  <c r="J9" i="2"/>
  <c r="J5" i="2"/>
  <c r="G11" i="2"/>
  <c r="G9" i="2"/>
  <c r="G5" i="2"/>
  <c r="G18" i="2" s="1"/>
  <c r="K11" i="2"/>
  <c r="K9" i="2"/>
  <c r="K5" i="2"/>
  <c r="H11" i="2"/>
  <c r="H9" i="2"/>
  <c r="H5" i="2"/>
  <c r="L11" i="2"/>
  <c r="L9" i="2"/>
  <c r="L5" i="2"/>
  <c r="S11" i="2"/>
  <c r="S9" i="2"/>
  <c r="S5" i="2"/>
  <c r="T11" i="2"/>
  <c r="T9" i="2"/>
  <c r="T5" i="2"/>
  <c r="U11" i="2"/>
  <c r="U9" i="2"/>
  <c r="U5" i="2"/>
  <c r="I59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M59" i="2"/>
  <c r="M44" i="2"/>
  <c r="M42" i="2"/>
  <c r="M46" i="2"/>
  <c r="M34" i="2"/>
  <c r="M27" i="2"/>
  <c r="I11" i="2"/>
  <c r="I9" i="2"/>
  <c r="I5" i="2"/>
  <c r="I18" i="2" s="1"/>
  <c r="M11" i="2"/>
  <c r="M9" i="2"/>
  <c r="M5" i="2"/>
  <c r="M18" i="2" s="1"/>
  <c r="L7" i="1"/>
  <c r="L5" i="1"/>
  <c r="L4" i="1"/>
  <c r="M36" i="2" l="1"/>
  <c r="M48" i="2" s="1"/>
  <c r="M49" i="2" s="1"/>
  <c r="M26" i="2"/>
  <c r="X26" i="2" s="1"/>
  <c r="Y11" i="2" s="1"/>
  <c r="U10" i="2"/>
  <c r="U12" i="2" s="1"/>
  <c r="U18" i="2"/>
  <c r="T10" i="2"/>
  <c r="T12" i="2" s="1"/>
  <c r="T18" i="2"/>
  <c r="S10" i="2"/>
  <c r="S18" i="2"/>
  <c r="L10" i="2"/>
  <c r="L12" i="2" s="1"/>
  <c r="L18" i="2"/>
  <c r="H10" i="2"/>
  <c r="H12" i="2" s="1"/>
  <c r="H18" i="2"/>
  <c r="K10" i="2"/>
  <c r="K12" i="2" s="1"/>
  <c r="K18" i="2"/>
  <c r="J18" i="2"/>
  <c r="J10" i="2"/>
  <c r="J12" i="2" s="1"/>
  <c r="F10" i="2"/>
  <c r="F12" i="2" s="1"/>
  <c r="F18" i="2"/>
  <c r="V18" i="2"/>
  <c r="V19" i="2"/>
  <c r="V20" i="2"/>
  <c r="V21" i="2"/>
  <c r="G10" i="2"/>
  <c r="G12" i="2" s="1"/>
  <c r="M10" i="2"/>
  <c r="M12" i="2" s="1"/>
  <c r="M22" i="2" s="1"/>
  <c r="I10" i="2"/>
  <c r="I12" i="2" s="1"/>
  <c r="I22" i="2" s="1"/>
  <c r="V22" i="2" l="1"/>
  <c r="G14" i="2"/>
  <c r="G15" i="2" s="1"/>
  <c r="G22" i="2"/>
  <c r="W21" i="2"/>
  <c r="W20" i="2"/>
  <c r="W19" i="2"/>
  <c r="W18" i="2"/>
  <c r="F14" i="2"/>
  <c r="F15" i="2" s="1"/>
  <c r="F22" i="2"/>
  <c r="J14" i="2"/>
  <c r="J22" i="2"/>
  <c r="K14" i="2"/>
  <c r="K22" i="2"/>
  <c r="H14" i="2"/>
  <c r="H15" i="2" s="1"/>
  <c r="H22" i="2"/>
  <c r="L14" i="2"/>
  <c r="L22" i="2"/>
  <c r="S12" i="2"/>
  <c r="T14" i="2"/>
  <c r="T22" i="2"/>
  <c r="U14" i="2"/>
  <c r="U22" i="2"/>
  <c r="I14" i="2"/>
  <c r="I15" i="2" s="1"/>
  <c r="M14" i="2"/>
  <c r="M23" i="2" s="1"/>
  <c r="L15" i="2" l="1"/>
  <c r="L23" i="2"/>
  <c r="K15" i="2"/>
  <c r="K23" i="2"/>
  <c r="J15" i="2"/>
  <c r="J23" i="2"/>
  <c r="M15" i="2"/>
  <c r="M52" i="2"/>
  <c r="M51" i="2"/>
  <c r="S14" i="2"/>
  <c r="S22" i="2"/>
  <c r="X5" i="2"/>
  <c r="X18" i="2" s="1"/>
  <c r="X19" i="2"/>
  <c r="X9" i="2"/>
  <c r="X10" i="2" s="1"/>
  <c r="X12" i="2" s="1"/>
  <c r="X20" i="2"/>
  <c r="X21" i="2"/>
  <c r="X13" i="2" l="1"/>
  <c r="Y21" i="2"/>
  <c r="Y20" i="2"/>
  <c r="Y19" i="2"/>
  <c r="Y9" i="2"/>
  <c r="Y5" i="2"/>
  <c r="Y18" i="2" s="1"/>
  <c r="W22" i="2" l="1"/>
  <c r="W23" i="2"/>
  <c r="X22" i="2"/>
  <c r="X14" i="2"/>
  <c r="X15" i="2" s="1"/>
  <c r="Z5" i="2"/>
  <c r="Z18" i="2" s="1"/>
  <c r="Y10" i="2"/>
  <c r="Y12" i="2" s="1"/>
  <c r="Z19" i="2"/>
  <c r="Z9" i="2"/>
  <c r="Z10" i="2" s="1"/>
  <c r="Z20" i="2"/>
  <c r="Z21" i="2"/>
  <c r="X23" i="2" l="1"/>
  <c r="Y13" i="2"/>
  <c r="AA21" i="2"/>
  <c r="AA20" i="2"/>
  <c r="AA19" i="2"/>
  <c r="AA9" i="2"/>
  <c r="AA5" i="2"/>
  <c r="AA18" i="2" s="1"/>
  <c r="Y22" i="2" l="1"/>
  <c r="Y14" i="2"/>
  <c r="Y15" i="2" s="1"/>
  <c r="AB5" i="2"/>
  <c r="AB18" i="2" s="1"/>
  <c r="AA10" i="2"/>
  <c r="AB19" i="2"/>
  <c r="AB9" i="2"/>
  <c r="AB10" i="2" s="1"/>
  <c r="AB20" i="2"/>
  <c r="AB21" i="2"/>
  <c r="Y26" i="2" l="1"/>
  <c r="Y23" i="2"/>
  <c r="AC21" i="2"/>
  <c r="AC20" i="2"/>
  <c r="AC19" i="2"/>
  <c r="AC9" i="2"/>
  <c r="AC5" i="2"/>
  <c r="AC18" i="2" s="1"/>
  <c r="Z11" i="2" l="1"/>
  <c r="Z12" i="2" s="1"/>
  <c r="AD5" i="2"/>
  <c r="AD18" i="2" s="1"/>
  <c r="AC10" i="2"/>
  <c r="AD19" i="2"/>
  <c r="AD9" i="2"/>
  <c r="AD10" i="2" s="1"/>
  <c r="AD20" i="2"/>
  <c r="AD21" i="2"/>
  <c r="Z13" i="2" l="1"/>
  <c r="Z22" i="2" s="1"/>
  <c r="Z14" i="2"/>
  <c r="Z15" i="2" s="1"/>
  <c r="AE21" i="2"/>
  <c r="AE20" i="2"/>
  <c r="AE19" i="2"/>
  <c r="AE9" i="2"/>
  <c r="AE5" i="2"/>
  <c r="AE18" i="2" s="1"/>
  <c r="Z23" i="2" l="1"/>
  <c r="Z26" i="2"/>
  <c r="AF5" i="2"/>
  <c r="AF18" i="2" s="1"/>
  <c r="AE10" i="2"/>
  <c r="AF19" i="2"/>
  <c r="AF9" i="2"/>
  <c r="AF10" i="2" s="1"/>
  <c r="AF20" i="2"/>
  <c r="AF21" i="2"/>
  <c r="AA11" i="2" l="1"/>
  <c r="AA12" i="2" s="1"/>
  <c r="AG21" i="2"/>
  <c r="AG20" i="2"/>
  <c r="AG19" i="2"/>
  <c r="AG9" i="2"/>
  <c r="AH5" i="2"/>
  <c r="AH18" i="2" s="1"/>
  <c r="AG5" i="2"/>
  <c r="AG18" i="2" s="1"/>
  <c r="AA13" i="2" l="1"/>
  <c r="AA22" i="2" s="1"/>
  <c r="AA14" i="2"/>
  <c r="AA15" i="2" s="1"/>
  <c r="AG10" i="2"/>
  <c r="AH19" i="2"/>
  <c r="AH9" i="2"/>
  <c r="AH10" i="2" s="1"/>
  <c r="AH20" i="2"/>
  <c r="AH21" i="2"/>
  <c r="AA23" i="2" l="1"/>
  <c r="AA26" i="2"/>
  <c r="AB11" i="2" l="1"/>
  <c r="AB12" i="2" s="1"/>
  <c r="AB13" i="2" l="1"/>
  <c r="AB22" i="2" s="1"/>
  <c r="AB14" i="2"/>
  <c r="AB15" i="2" s="1"/>
  <c r="AB23" i="2" l="1"/>
  <c r="AB26" i="2"/>
  <c r="AC11" i="2" l="1"/>
  <c r="AC12" i="2" s="1"/>
  <c r="AC13" i="2" l="1"/>
  <c r="AC22" i="2" s="1"/>
  <c r="AC14" i="2"/>
  <c r="AC15" i="2" s="1"/>
  <c r="AC23" i="2" l="1"/>
  <c r="AC26" i="2"/>
  <c r="AD11" i="2" l="1"/>
  <c r="AD12" i="2" s="1"/>
  <c r="AD13" i="2" l="1"/>
  <c r="AD22" i="2" s="1"/>
  <c r="AD14" i="2"/>
  <c r="AD15" i="2" s="1"/>
  <c r="AD23" i="2" l="1"/>
  <c r="AD26" i="2"/>
  <c r="AE11" i="2" l="1"/>
  <c r="AE12" i="2" s="1"/>
  <c r="AE13" i="2" l="1"/>
  <c r="AE22" i="2" s="1"/>
  <c r="AE14" i="2"/>
  <c r="AE15" i="2" s="1"/>
  <c r="AE23" i="2" l="1"/>
  <c r="AE26" i="2"/>
  <c r="AF11" i="2" l="1"/>
  <c r="AF12" i="2" s="1"/>
  <c r="AF13" i="2" l="1"/>
  <c r="AF22" i="2" s="1"/>
  <c r="AF14" i="2"/>
  <c r="AF15" i="2" s="1"/>
  <c r="AF23" i="2" l="1"/>
  <c r="AF26" i="2"/>
  <c r="AG11" i="2" l="1"/>
  <c r="AG12" i="2" s="1"/>
  <c r="AG13" i="2" l="1"/>
  <c r="AG22" i="2" s="1"/>
  <c r="AG14" i="2"/>
  <c r="AG15" i="2" s="1"/>
  <c r="AG23" i="2" l="1"/>
  <c r="AG26" i="2"/>
  <c r="AH11" i="2" l="1"/>
  <c r="AH12" i="2" s="1"/>
  <c r="AH13" i="2" l="1"/>
  <c r="AH22" i="2" s="1"/>
  <c r="AH14" i="2"/>
  <c r="AH15" i="2" s="1"/>
  <c r="AI14" i="2" l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P19" i="2"/>
  <c r="P20" i="2" s="1"/>
  <c r="AH23" i="2"/>
  <c r="AH26" i="2"/>
</calcChain>
</file>

<file path=xl/sharedStrings.xml><?xml version="1.0" encoding="utf-8"?>
<sst xmlns="http://schemas.openxmlformats.org/spreadsheetml/2006/main" count="76" uniqueCount="69">
  <si>
    <t>ZS</t>
  </si>
  <si>
    <t>Price</t>
  </si>
  <si>
    <t>Shares</t>
  </si>
  <si>
    <t>MC</t>
  </si>
  <si>
    <t>Cash</t>
  </si>
  <si>
    <t>Debt</t>
  </si>
  <si>
    <t>EV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</si>
  <si>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</si>
  <si>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</si>
  <si>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</si>
  <si>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</si>
  <si>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</si>
  <si>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</si>
  <si>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</si>
  <si>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</si>
  <si>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</si>
  <si>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</si>
  <si>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</si>
  <si>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</si>
  <si>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 xml:space="preserve"> </t>
  </si>
  <si>
    <t>Revenue</t>
  </si>
  <si>
    <t>Cost</t>
  </si>
  <si>
    <t>Gross Profit</t>
  </si>
  <si>
    <t>SM</t>
  </si>
  <si>
    <t>RD</t>
  </si>
  <si>
    <t>GA</t>
  </si>
  <si>
    <t>OPEX</t>
  </si>
  <si>
    <t>Operating Profit</t>
  </si>
  <si>
    <t>Interest Income</t>
  </si>
  <si>
    <t>PRETAX</t>
  </si>
  <si>
    <t>Taxes</t>
  </si>
  <si>
    <t>NI</t>
  </si>
  <si>
    <t>EPS</t>
  </si>
  <si>
    <t>Gross %</t>
  </si>
  <si>
    <t>DR</t>
  </si>
  <si>
    <t>SM %</t>
  </si>
  <si>
    <t>NPV</t>
  </si>
  <si>
    <t>RD %</t>
  </si>
  <si>
    <t>PS</t>
  </si>
  <si>
    <t>GA %</t>
  </si>
  <si>
    <t>Taxe rate</t>
  </si>
  <si>
    <t>NI y/y</t>
  </si>
  <si>
    <t>SM y/y</t>
  </si>
  <si>
    <t>NC</t>
  </si>
  <si>
    <t xml:space="preserve">Cash </t>
  </si>
  <si>
    <t>AR</t>
  </si>
  <si>
    <t>Deferred</t>
  </si>
  <si>
    <t>Prepaid</t>
  </si>
  <si>
    <t>PPE</t>
  </si>
  <si>
    <t>OLRA</t>
  </si>
  <si>
    <t>Acquisitions</t>
  </si>
  <si>
    <t>Intangible</t>
  </si>
  <si>
    <t>Other</t>
  </si>
  <si>
    <t>Assets</t>
  </si>
  <si>
    <t>AP</t>
  </si>
  <si>
    <t>AE</t>
  </si>
  <si>
    <t>Compensations</t>
  </si>
  <si>
    <t>Senior Notes</t>
  </si>
  <si>
    <t>OLL</t>
  </si>
  <si>
    <t>Liabilities</t>
  </si>
  <si>
    <t>S/E</t>
  </si>
  <si>
    <t>L+S/E</t>
  </si>
  <si>
    <t>ROA</t>
  </si>
  <si>
    <t>ROE</t>
  </si>
  <si>
    <t>CFFO</t>
  </si>
  <si>
    <t>CFFI</t>
  </si>
  <si>
    <t>CFFF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</si>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</sst>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workbookViewId="0">
      <selection activeCell="L2" sqref="L2"/>
    </sheetView>
  </sheetViews>
  <sheetFormatPr defaultRowHeight="15"/>
  <cols>
    <col min="12" max="12" width="9.28515625" bestFit="1" customWidth="1"/>
  </cols>
  <sheetData>
    <row r="2" spans="2:12">
      <c r="B2" t="s">
        <v>0</v>
      </c>
      <c r="K2" t="s">
        <v>1</v>
      </c>
      <c r="L2" s="1">
        <v>212</v>
      </c>
    </row>
    <row r="3" spans="2:12">
      <c r="K3" t="s">
        <v>2</v>
      </c>
      <c r="L3" s="1">
        <v>152.5</v>
      </c>
    </row>
    <row r="4" spans="2:12">
      <c r="K4" t="s">
        <v>3</v>
      </c>
      <c r="L4" s="1">
        <f>+L3*L2</f>
        <v>32330</v>
      </c>
    </row>
    <row r="5" spans="2:12">
      <c r="K5" t="s">
        <v>4</v>
      </c>
      <c r="L5" s="1">
        <f>1553.645+1154.252</f>
        <v>2707.8969999999999</v>
      </c>
    </row>
    <row r="6" spans="2:12">
      <c r="K6" t="s">
        <v>5</v>
      </c>
      <c r="L6" s="1">
        <v>1160.1310000000001</v>
      </c>
    </row>
    <row r="7" spans="2:12">
      <c r="K7" t="s">
        <v>6</v>
      </c>
      <c r="L7" s="1">
        <f>+L4-L5+L6</f>
        <v>30782.234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A53C-FF63-46CB-AD46-C3E69B64E0A6}">
  <dimension ref="A2:BA59"/>
  <sheetViews>
    <sheetView tabSelected="1" workbookViewId="0">
      <pane xSplit="1" ySplit="2" topLeftCell="R42" activePane="bottomRight" state="frozen"/>
      <selection pane="bottomRight" activeCell="W59" sqref="T59:W59"/>
      <selection pane="bottomLeft"/>
      <selection pane="topRight"/>
    </sheetView>
  </sheetViews>
  <sheetFormatPr defaultRowHeight="15"/>
  <cols>
    <col min="1" max="1" width="14.85546875" bestFit="1" customWidth="1"/>
    <col min="8" max="8" width="13" bestFit="1" customWidth="1"/>
    <col min="13" max="13" width="9.28515625" bestFit="1" customWidth="1"/>
    <col min="16" max="16" width="12.5703125" bestFit="1" customWidth="1"/>
    <col min="20" max="23" width="9.28515625" bestFit="1" customWidth="1"/>
  </cols>
  <sheetData>
    <row r="2" spans="1:5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R2" t="s">
        <v>19</v>
      </c>
      <c r="S2">
        <v>2020</v>
      </c>
      <c r="T2">
        <v>2021</v>
      </c>
      <c r="U2">
        <v>2022</v>
      </c>
      <c r="V2">
        <f>+U2+1</f>
        <v>2023</v>
      </c>
      <c r="W2">
        <f t="shared" ref="W2:AH2" si="0">+V2+1</f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  <c r="AB2">
        <f t="shared" si="0"/>
        <v>2029</v>
      </c>
      <c r="AC2">
        <f t="shared" si="0"/>
        <v>2030</v>
      </c>
      <c r="AD2">
        <f t="shared" si="0"/>
        <v>2031</v>
      </c>
      <c r="AE2">
        <f t="shared" si="0"/>
        <v>2032</v>
      </c>
      <c r="AF2">
        <f t="shared" si="0"/>
        <v>2033</v>
      </c>
      <c r="AG2">
        <f t="shared" si="0"/>
        <v>2034</v>
      </c>
      <c r="AH2">
        <f t="shared" si="0"/>
        <v>2035</v>
      </c>
    </row>
    <row r="3" spans="1:53">
      <c r="A3" t="s">
        <v>20</v>
      </c>
      <c r="F3">
        <v>387.59800000000001</v>
      </c>
      <c r="G3">
        <v>418.8</v>
      </c>
      <c r="H3">
        <v>455.00599999999997</v>
      </c>
      <c r="I3">
        <v>496.70299999999997</v>
      </c>
      <c r="J3">
        <v>524.99900000000002</v>
      </c>
      <c r="K3">
        <v>553.02099999999996</v>
      </c>
      <c r="L3">
        <v>592.86800000000005</v>
      </c>
      <c r="M3">
        <v>627.95500000000004</v>
      </c>
      <c r="S3">
        <v>431.26900000000001</v>
      </c>
      <c r="T3">
        <v>673.1</v>
      </c>
      <c r="U3">
        <v>1090.9459999999999</v>
      </c>
      <c r="V3">
        <v>1616.952</v>
      </c>
      <c r="W3">
        <v>2167.7710000000002</v>
      </c>
      <c r="X3">
        <f>+W3*1.25</f>
        <v>2709.7137500000003</v>
      </c>
      <c r="Y3">
        <f t="shared" ref="Y3:AH3" si="1">+X3*1.25</f>
        <v>3387.1421875000005</v>
      </c>
      <c r="Z3">
        <f t="shared" si="1"/>
        <v>4233.9277343750009</v>
      </c>
      <c r="AA3">
        <f t="shared" si="1"/>
        <v>5292.4096679687509</v>
      </c>
      <c r="AB3">
        <f t="shared" si="1"/>
        <v>6615.5120849609384</v>
      </c>
      <c r="AC3">
        <f t="shared" si="1"/>
        <v>8269.3901062011737</v>
      </c>
      <c r="AD3">
        <f>+AC3</f>
        <v>8269.3901062011737</v>
      </c>
      <c r="AE3">
        <f t="shared" si="1"/>
        <v>10336.737632751467</v>
      </c>
      <c r="AF3">
        <f t="shared" si="1"/>
        <v>12920.922040939333</v>
      </c>
      <c r="AG3">
        <f t="shared" si="1"/>
        <v>16151.152551174166</v>
      </c>
      <c r="AH3">
        <f t="shared" si="1"/>
        <v>20188.940688967708</v>
      </c>
    </row>
    <row r="4" spans="1:53">
      <c r="A4" t="s">
        <v>21</v>
      </c>
      <c r="F4">
        <v>87.603999999999999</v>
      </c>
      <c r="G4">
        <v>95.849000000000004</v>
      </c>
      <c r="H4">
        <v>102.682</v>
      </c>
      <c r="I4">
        <v>111.39400000000001</v>
      </c>
      <c r="J4">
        <v>117.199</v>
      </c>
      <c r="K4">
        <v>118.331</v>
      </c>
      <c r="L4">
        <v>130.20500000000001</v>
      </c>
      <c r="M4">
        <v>141.46199999999999</v>
      </c>
      <c r="S4">
        <v>95.733000000000004</v>
      </c>
      <c r="T4">
        <v>150.31700000000001</v>
      </c>
      <c r="U4">
        <v>242.28200000000001</v>
      </c>
      <c r="V4">
        <v>362.83199999999999</v>
      </c>
      <c r="W4">
        <v>477.12900000000002</v>
      </c>
    </row>
    <row r="5" spans="1:53">
      <c r="A5" t="s">
        <v>22</v>
      </c>
      <c r="F5">
        <f>+F3-F4</f>
        <v>299.99400000000003</v>
      </c>
      <c r="G5">
        <f>+G3-G4</f>
        <v>322.95100000000002</v>
      </c>
      <c r="H5">
        <f>+H3-H4</f>
        <v>352.32399999999996</v>
      </c>
      <c r="I5">
        <f>+I3-I4</f>
        <v>385.30899999999997</v>
      </c>
      <c r="J5">
        <f>+J3-J4</f>
        <v>407.8</v>
      </c>
      <c r="K5">
        <f>+K3-K4</f>
        <v>434.68999999999994</v>
      </c>
      <c r="L5">
        <f>+L3-L4</f>
        <v>462.66300000000001</v>
      </c>
      <c r="M5">
        <f>+M3-M4</f>
        <v>486.49300000000005</v>
      </c>
      <c r="S5">
        <f>+S3-S4</f>
        <v>335.536</v>
      </c>
      <c r="T5">
        <f>+T3-T4</f>
        <v>522.78300000000002</v>
      </c>
      <c r="U5">
        <f>+U3-U4</f>
        <v>848.66399999999987</v>
      </c>
      <c r="V5">
        <f>+V3-V4</f>
        <v>1254.1199999999999</v>
      </c>
      <c r="W5">
        <f>+W3-W4</f>
        <v>1690.6420000000003</v>
      </c>
      <c r="X5">
        <f t="shared" ref="X5:AH5" si="2">+X3*0.77</f>
        <v>2086.4795875000004</v>
      </c>
      <c r="Y5">
        <f t="shared" si="2"/>
        <v>2608.0994843750004</v>
      </c>
      <c r="Z5">
        <f t="shared" si="2"/>
        <v>3260.1243554687508</v>
      </c>
      <c r="AA5">
        <f t="shared" si="2"/>
        <v>4075.1554443359382</v>
      </c>
      <c r="AB5">
        <f t="shared" si="2"/>
        <v>5093.9443054199228</v>
      </c>
      <c r="AC5">
        <f t="shared" si="2"/>
        <v>6367.4303817749042</v>
      </c>
      <c r="AD5">
        <f t="shared" si="2"/>
        <v>6367.4303817749042</v>
      </c>
      <c r="AE5">
        <f t="shared" si="2"/>
        <v>7959.2879772186297</v>
      </c>
      <c r="AF5">
        <f t="shared" si="2"/>
        <v>9949.1099715232867</v>
      </c>
      <c r="AG5">
        <f t="shared" si="2"/>
        <v>12436.387464404108</v>
      </c>
      <c r="AH5">
        <f t="shared" si="2"/>
        <v>15545.484330505136</v>
      </c>
    </row>
    <row r="6" spans="1:53">
      <c r="A6" t="s">
        <v>23</v>
      </c>
      <c r="F6">
        <v>235.94499999999999</v>
      </c>
      <c r="G6">
        <v>236.273</v>
      </c>
      <c r="H6">
        <v>252.81</v>
      </c>
      <c r="I6">
        <v>267.11099999999999</v>
      </c>
      <c r="J6">
        <v>276.48099999999999</v>
      </c>
      <c r="K6">
        <v>262.447</v>
      </c>
      <c r="L6">
        <v>294.2</v>
      </c>
      <c r="M6">
        <v>306.08699999999999</v>
      </c>
      <c r="S6">
        <v>277.98099999999999</v>
      </c>
      <c r="T6">
        <v>459.40699999999998</v>
      </c>
      <c r="U6">
        <v>735.21900000000005</v>
      </c>
      <c r="V6">
        <v>953.86400000000003</v>
      </c>
      <c r="W6">
        <v>1100.239</v>
      </c>
      <c r="X6">
        <f t="shared" ref="X6:AH6" si="3">+W6*1.15</f>
        <v>1265.27485</v>
      </c>
      <c r="Y6">
        <f t="shared" si="3"/>
        <v>1455.0660774999999</v>
      </c>
      <c r="Z6">
        <f t="shared" si="3"/>
        <v>1673.3259891249998</v>
      </c>
      <c r="AA6">
        <f t="shared" si="3"/>
        <v>1924.3248874937497</v>
      </c>
      <c r="AB6">
        <f t="shared" si="3"/>
        <v>2212.9736206178118</v>
      </c>
      <c r="AC6">
        <f t="shared" si="3"/>
        <v>2544.9196637104833</v>
      </c>
      <c r="AD6">
        <f t="shared" si="3"/>
        <v>2926.6576132670557</v>
      </c>
      <c r="AE6">
        <f t="shared" si="3"/>
        <v>3365.6562552571136</v>
      </c>
      <c r="AF6">
        <f t="shared" si="3"/>
        <v>3870.5046935456803</v>
      </c>
      <c r="AG6">
        <f t="shared" si="3"/>
        <v>4451.0803975775316</v>
      </c>
      <c r="AH6">
        <f t="shared" si="3"/>
        <v>5118.7424572141608</v>
      </c>
    </row>
    <row r="7" spans="1:53">
      <c r="A7" t="s">
        <v>24</v>
      </c>
      <c r="F7">
        <v>85.765000000000001</v>
      </c>
      <c r="G7">
        <v>92.637</v>
      </c>
      <c r="H7">
        <v>96.387</v>
      </c>
      <c r="I7">
        <v>113.539</v>
      </c>
      <c r="J7">
        <v>122.181</v>
      </c>
      <c r="K7">
        <v>124.958</v>
      </c>
      <c r="L7">
        <v>139.15</v>
      </c>
      <c r="M7">
        <v>154.25399999999999</v>
      </c>
      <c r="S7">
        <v>97.879000000000005</v>
      </c>
      <c r="T7">
        <v>174.65299999999999</v>
      </c>
      <c r="U7">
        <v>289.13900000000001</v>
      </c>
      <c r="V7">
        <v>349.73500000000001</v>
      </c>
      <c r="W7">
        <v>499.82799999999997</v>
      </c>
      <c r="X7">
        <f>+W7*1.1</f>
        <v>549.81079999999997</v>
      </c>
      <c r="Y7">
        <f t="shared" ref="Y7:AH7" si="4">+X7*1.1</f>
        <v>604.79187999999999</v>
      </c>
      <c r="Z7">
        <f t="shared" si="4"/>
        <v>665.27106800000001</v>
      </c>
      <c r="AA7">
        <f t="shared" si="4"/>
        <v>731.79817480000008</v>
      </c>
      <c r="AB7">
        <f t="shared" si="4"/>
        <v>804.97799228000019</v>
      </c>
      <c r="AC7">
        <f t="shared" si="4"/>
        <v>885.47579150800027</v>
      </c>
      <c r="AD7">
        <f t="shared" si="4"/>
        <v>974.02337065880033</v>
      </c>
      <c r="AE7">
        <f t="shared" si="4"/>
        <v>1071.4257077246805</v>
      </c>
      <c r="AF7">
        <f t="shared" si="4"/>
        <v>1178.5682784971486</v>
      </c>
      <c r="AG7">
        <f t="shared" si="4"/>
        <v>1296.4251063468637</v>
      </c>
      <c r="AH7">
        <f t="shared" si="4"/>
        <v>1426.0676169815501</v>
      </c>
    </row>
    <row r="8" spans="1:53">
      <c r="A8" t="s">
        <v>25</v>
      </c>
      <c r="F8">
        <v>43.521999999999998</v>
      </c>
      <c r="G8">
        <v>43.485999999999997</v>
      </c>
      <c r="H8">
        <v>46.38</v>
      </c>
      <c r="I8">
        <v>50.716000000000001</v>
      </c>
      <c r="J8">
        <v>54.594999999999999</v>
      </c>
      <c r="K8">
        <v>50.478000000000002</v>
      </c>
      <c r="L8">
        <v>56.262999999999998</v>
      </c>
      <c r="M8">
        <v>56.819000000000003</v>
      </c>
      <c r="S8">
        <v>73.632000000000005</v>
      </c>
      <c r="T8">
        <v>96.534999999999997</v>
      </c>
      <c r="U8">
        <v>151.73500000000001</v>
      </c>
      <c r="V8">
        <v>177.54400000000001</v>
      </c>
      <c r="W8">
        <v>212.05199999999999</v>
      </c>
      <c r="X8">
        <f t="shared" ref="X8:AH8" si="5">+W8*1.15</f>
        <v>243.85979999999998</v>
      </c>
      <c r="Y8">
        <f t="shared" si="5"/>
        <v>280.43876999999998</v>
      </c>
      <c r="Z8">
        <f t="shared" si="5"/>
        <v>322.50458549999996</v>
      </c>
      <c r="AA8">
        <f t="shared" si="5"/>
        <v>370.88027332499991</v>
      </c>
      <c r="AB8">
        <f t="shared" si="5"/>
        <v>426.51231432374988</v>
      </c>
      <c r="AC8">
        <f t="shared" si="5"/>
        <v>490.48916147231233</v>
      </c>
      <c r="AD8">
        <f t="shared" si="5"/>
        <v>564.06253569315913</v>
      </c>
      <c r="AE8">
        <f t="shared" si="5"/>
        <v>648.67191604713298</v>
      </c>
      <c r="AF8">
        <f t="shared" si="5"/>
        <v>745.97270345420282</v>
      </c>
      <c r="AG8">
        <f t="shared" si="5"/>
        <v>857.86860897233316</v>
      </c>
      <c r="AH8">
        <f t="shared" si="5"/>
        <v>986.54890031818309</v>
      </c>
    </row>
    <row r="9" spans="1:53">
      <c r="A9" t="s">
        <v>26</v>
      </c>
      <c r="F9">
        <f>+SUM(F6:F8)</f>
        <v>365.23199999999997</v>
      </c>
      <c r="G9">
        <f>+SUM(G6:G8)</f>
        <v>372.39599999999996</v>
      </c>
      <c r="H9">
        <f>+SUM(H6:H8)</f>
        <v>395.577</v>
      </c>
      <c r="I9">
        <f>+SUM(I6:I8)</f>
        <v>431.36599999999999</v>
      </c>
      <c r="J9">
        <f>+SUM(J6:J8)</f>
        <v>453.25699999999995</v>
      </c>
      <c r="K9">
        <f>+SUM(K6:K8)</f>
        <v>437.88299999999998</v>
      </c>
      <c r="L9">
        <f>+SUM(L6:L8)</f>
        <v>489.613</v>
      </c>
      <c r="M9">
        <f>+SUM(M6:M8)</f>
        <v>517.16</v>
      </c>
      <c r="S9">
        <f>+SUM(S6:S8)</f>
        <v>449.49200000000002</v>
      </c>
      <c r="T9">
        <f>+SUM(T6:T8)</f>
        <v>730.59499999999991</v>
      </c>
      <c r="U9">
        <f>+SUM(U6:U8)</f>
        <v>1176.0930000000003</v>
      </c>
      <c r="V9">
        <f>+SUM(V6:V8)</f>
        <v>1481.1430000000003</v>
      </c>
      <c r="W9">
        <f>+SUM(W6:W8)</f>
        <v>1812.1189999999999</v>
      </c>
      <c r="X9">
        <f t="shared" ref="X9:AH9" si="6">+SUM(X6:X8)</f>
        <v>2058.9454500000002</v>
      </c>
      <c r="Y9">
        <f t="shared" si="6"/>
        <v>2340.2967275000001</v>
      </c>
      <c r="Z9">
        <f t="shared" si="6"/>
        <v>2661.1016426249998</v>
      </c>
      <c r="AA9">
        <f t="shared" si="6"/>
        <v>3027.0033356187496</v>
      </c>
      <c r="AB9">
        <f t="shared" si="6"/>
        <v>3444.4639272215618</v>
      </c>
      <c r="AC9">
        <f t="shared" si="6"/>
        <v>3920.8846166907961</v>
      </c>
      <c r="AD9">
        <f t="shared" si="6"/>
        <v>4464.7435196190145</v>
      </c>
      <c r="AE9">
        <f t="shared" si="6"/>
        <v>5085.7538790289273</v>
      </c>
      <c r="AF9">
        <f t="shared" si="6"/>
        <v>5795.0456754970319</v>
      </c>
      <c r="AG9">
        <f t="shared" si="6"/>
        <v>6605.3741128967285</v>
      </c>
      <c r="AH9">
        <f t="shared" si="6"/>
        <v>7531.3589745138943</v>
      </c>
    </row>
    <row r="10" spans="1:53">
      <c r="A10" t="s">
        <v>27</v>
      </c>
      <c r="F10">
        <f>+F5-F9</f>
        <v>-65.237999999999943</v>
      </c>
      <c r="G10">
        <f>+G5-G9</f>
        <v>-49.444999999999936</v>
      </c>
      <c r="H10">
        <f>+H5-H9</f>
        <v>-43.253000000000043</v>
      </c>
      <c r="I10">
        <f>+I5-I9</f>
        <v>-46.057000000000016</v>
      </c>
      <c r="J10">
        <f>+J5-J9</f>
        <v>-45.456999999999937</v>
      </c>
      <c r="K10">
        <f>+K5-K9</f>
        <v>-3.1930000000000405</v>
      </c>
      <c r="L10">
        <f>+L5-L9</f>
        <v>-26.949999999999989</v>
      </c>
      <c r="M10">
        <f>+M5-M9</f>
        <v>-30.666999999999916</v>
      </c>
      <c r="S10">
        <f>+S5-S9</f>
        <v>-113.95600000000002</v>
      </c>
      <c r="T10">
        <f>+T5-T9</f>
        <v>-207.8119999999999</v>
      </c>
      <c r="U10">
        <f>+U5-U9</f>
        <v>-327.42900000000043</v>
      </c>
      <c r="V10">
        <f>+V5-V9</f>
        <v>-227.02300000000037</v>
      </c>
      <c r="W10">
        <f>+W5-W9</f>
        <v>-121.47699999999963</v>
      </c>
      <c r="X10">
        <f t="shared" ref="X10:AH10" si="7">+X5-X9</f>
        <v>27.53413750000027</v>
      </c>
      <c r="Y10">
        <f t="shared" si="7"/>
        <v>267.80275687500034</v>
      </c>
      <c r="Z10">
        <f t="shared" si="7"/>
        <v>599.02271284375092</v>
      </c>
      <c r="AA10">
        <f t="shared" si="7"/>
        <v>1048.1521087171886</v>
      </c>
      <c r="AB10">
        <f t="shared" si="7"/>
        <v>1649.480378198361</v>
      </c>
      <c r="AC10">
        <f t="shared" si="7"/>
        <v>2446.5457650841081</v>
      </c>
      <c r="AD10">
        <f t="shared" si="7"/>
        <v>1902.6868621558897</v>
      </c>
      <c r="AE10">
        <f t="shared" si="7"/>
        <v>2873.5340981897025</v>
      </c>
      <c r="AF10">
        <f t="shared" si="7"/>
        <v>4154.0642960262549</v>
      </c>
      <c r="AG10">
        <f t="shared" si="7"/>
        <v>5831.0133515073794</v>
      </c>
      <c r="AH10">
        <f t="shared" si="7"/>
        <v>8014.125355991242</v>
      </c>
    </row>
    <row r="11" spans="1:53">
      <c r="A11" t="s">
        <v>28</v>
      </c>
      <c r="F11">
        <f>12.669-1.333+0.141</f>
        <v>11.477</v>
      </c>
      <c r="G11">
        <f>18.577-1.383-0.809</f>
        <v>16.385000000000002</v>
      </c>
      <c r="H11">
        <f>21.351-2.494-0.331</f>
        <v>18.526</v>
      </c>
      <c r="I11">
        <f>25.942-3.159-1.212</f>
        <v>21.571000000000002</v>
      </c>
      <c r="J11">
        <f>28.385-3.605+0.172</f>
        <v>24.952000000000002</v>
      </c>
      <c r="K11">
        <f>27.57-2.764-0.927</f>
        <v>23.879000000000001</v>
      </c>
      <c r="L11">
        <f>27.233-3.604-1.783</f>
        <v>21.846</v>
      </c>
      <c r="M11">
        <f>30.048-3.143-0.652</f>
        <v>26.252999999999997</v>
      </c>
      <c r="S11">
        <f>6.477-5.025-0.244</f>
        <v>1.208</v>
      </c>
      <c r="T11">
        <f>2.812-53.364+1.186</f>
        <v>-49.366</v>
      </c>
      <c r="U11">
        <f>4.586-56.579-4.208</f>
        <v>-56.201000000000001</v>
      </c>
      <c r="V11">
        <f>60.462-6.541-1.862</f>
        <v>52.059000000000005</v>
      </c>
      <c r="W11">
        <f>109.13-13.132-3.75</f>
        <v>92.24799999999999</v>
      </c>
      <c r="Y11">
        <f>+X26*0.02</f>
        <v>54.157939999999996</v>
      </c>
      <c r="Z11">
        <f t="shared" ref="Z11:AH11" si="8">+Y26*0.02</f>
        <v>59.438095428750003</v>
      </c>
      <c r="AA11">
        <f t="shared" si="8"/>
        <v>70.23685268441902</v>
      </c>
      <c r="AB11">
        <f t="shared" si="8"/>
        <v>88.578431651405396</v>
      </c>
      <c r="AC11">
        <f t="shared" si="8"/>
        <v>117.08259613294156</v>
      </c>
      <c r="AD11">
        <f t="shared" si="8"/>
        <v>159.12610125690117</v>
      </c>
      <c r="AE11">
        <f t="shared" si="8"/>
        <v>192.93983385687093</v>
      </c>
      <c r="AF11">
        <f t="shared" si="8"/>
        <v>243.23000634243473</v>
      </c>
      <c r="AG11">
        <f t="shared" si="8"/>
        <v>315.34563290128119</v>
      </c>
      <c r="AH11">
        <f t="shared" si="8"/>
        <v>416.14592024558328</v>
      </c>
    </row>
    <row r="12" spans="1:53">
      <c r="A12" t="s">
        <v>29</v>
      </c>
      <c r="F12">
        <f>+F10+F11</f>
        <v>-53.760999999999939</v>
      </c>
      <c r="G12">
        <f>+G10+G11</f>
        <v>-33.059999999999931</v>
      </c>
      <c r="H12">
        <f>+H10+H11</f>
        <v>-24.727000000000043</v>
      </c>
      <c r="I12">
        <f>+I10+I11</f>
        <v>-24.486000000000015</v>
      </c>
      <c r="J12">
        <f>+J10+J11</f>
        <v>-20.504999999999935</v>
      </c>
      <c r="K12">
        <f>+K10+K11</f>
        <v>20.685999999999961</v>
      </c>
      <c r="L12">
        <f>+L10+L11</f>
        <v>-5.1039999999999885</v>
      </c>
      <c r="M12">
        <f>+M10+M11</f>
        <v>-4.4139999999999198</v>
      </c>
      <c r="S12">
        <f>+S10+S11</f>
        <v>-112.74800000000002</v>
      </c>
      <c r="T12">
        <f>+T10+T11</f>
        <v>-257.17799999999988</v>
      </c>
      <c r="U12">
        <f>+U10+U11</f>
        <v>-383.63000000000045</v>
      </c>
      <c r="V12">
        <f>+V10+V11</f>
        <v>-174.96400000000037</v>
      </c>
      <c r="W12">
        <f>+W10+W11</f>
        <v>-29.228999999999644</v>
      </c>
      <c r="X12">
        <f t="shared" ref="X12:AH12" si="9">+X10+X11</f>
        <v>27.53413750000027</v>
      </c>
      <c r="Y12">
        <f t="shared" si="9"/>
        <v>321.96069687500034</v>
      </c>
      <c r="Z12">
        <f t="shared" si="9"/>
        <v>658.46080827250091</v>
      </c>
      <c r="AA12">
        <f t="shared" si="9"/>
        <v>1118.3889614016077</v>
      </c>
      <c r="AB12">
        <f t="shared" si="9"/>
        <v>1738.0588098497665</v>
      </c>
      <c r="AC12">
        <f t="shared" si="9"/>
        <v>2563.6283612170496</v>
      </c>
      <c r="AD12">
        <f t="shared" si="9"/>
        <v>2061.8129634127909</v>
      </c>
      <c r="AE12">
        <f t="shared" si="9"/>
        <v>3066.4739320465733</v>
      </c>
      <c r="AF12">
        <f t="shared" si="9"/>
        <v>4397.2943023686894</v>
      </c>
      <c r="AG12">
        <f t="shared" si="9"/>
        <v>6146.3589844086609</v>
      </c>
      <c r="AH12">
        <f t="shared" si="9"/>
        <v>8430.2712762368246</v>
      </c>
    </row>
    <row r="13" spans="1:53">
      <c r="A13" t="s">
        <v>30</v>
      </c>
      <c r="F13">
        <v>3.6920000000000002</v>
      </c>
      <c r="G13">
        <v>6.6849999999999996</v>
      </c>
      <c r="H13">
        <v>4.6479999999999997</v>
      </c>
      <c r="I13">
        <v>8.9969999999999999</v>
      </c>
      <c r="J13">
        <v>7.9640000000000004</v>
      </c>
      <c r="K13">
        <v>1.724</v>
      </c>
      <c r="L13">
        <v>9.7739999999999991</v>
      </c>
      <c r="M13">
        <v>7.6369999999999996</v>
      </c>
      <c r="S13">
        <v>2.3879999999999999</v>
      </c>
      <c r="T13">
        <v>4.851</v>
      </c>
      <c r="U13">
        <v>6.6479999999999997</v>
      </c>
      <c r="V13">
        <v>19.771000000000001</v>
      </c>
      <c r="W13">
        <v>28.477</v>
      </c>
      <c r="X13">
        <f t="shared" ref="X13:AH13" si="10">+X12*0.18</f>
        <v>4.9561447500000488</v>
      </c>
      <c r="Y13">
        <f t="shared" si="10"/>
        <v>57.952925437500056</v>
      </c>
      <c r="Z13">
        <f t="shared" si="10"/>
        <v>118.52294548905016</v>
      </c>
      <c r="AA13">
        <f t="shared" si="10"/>
        <v>201.31001305228938</v>
      </c>
      <c r="AB13">
        <f t="shared" si="10"/>
        <v>312.85058577295797</v>
      </c>
      <c r="AC13">
        <f t="shared" si="10"/>
        <v>461.45310501906891</v>
      </c>
      <c r="AD13">
        <f t="shared" si="10"/>
        <v>371.12633341430234</v>
      </c>
      <c r="AE13">
        <f t="shared" si="10"/>
        <v>551.96530776838313</v>
      </c>
      <c r="AF13">
        <f t="shared" si="10"/>
        <v>791.51297442636405</v>
      </c>
      <c r="AG13">
        <f t="shared" si="10"/>
        <v>1106.3446171935589</v>
      </c>
      <c r="AH13">
        <f t="shared" si="10"/>
        <v>1517.4488297226285</v>
      </c>
    </row>
    <row r="14" spans="1:53">
      <c r="A14" t="s">
        <v>31</v>
      </c>
      <c r="F14">
        <f>+F12-F13</f>
        <v>-57.452999999999939</v>
      </c>
      <c r="G14">
        <f>+G12-G13</f>
        <v>-39.744999999999933</v>
      </c>
      <c r="H14">
        <f>+H12-H13</f>
        <v>-29.375000000000043</v>
      </c>
      <c r="I14">
        <f>+I12-I13</f>
        <v>-33.483000000000018</v>
      </c>
      <c r="J14">
        <f>+J12-J13</f>
        <v>-28.468999999999937</v>
      </c>
      <c r="K14">
        <f>+K12-K13</f>
        <v>18.961999999999961</v>
      </c>
      <c r="L14">
        <f>+L12-L13</f>
        <v>-14.877999999999988</v>
      </c>
      <c r="M14">
        <f>+M12-M13</f>
        <v>-12.05099999999992</v>
      </c>
      <c r="S14">
        <f>+S12-S13</f>
        <v>-115.13600000000002</v>
      </c>
      <c r="T14">
        <f>+T12-T13</f>
        <v>-262.02899999999988</v>
      </c>
      <c r="U14">
        <f>+U12-U13</f>
        <v>-390.27800000000047</v>
      </c>
      <c r="V14">
        <f>+V12-V13</f>
        <v>-194.73500000000035</v>
      </c>
      <c r="W14">
        <f>+W12-W13</f>
        <v>-57.705999999999648</v>
      </c>
      <c r="X14">
        <f t="shared" ref="X14:AH14" si="11">+X12-X13</f>
        <v>22.57799275000022</v>
      </c>
      <c r="Y14">
        <f t="shared" si="11"/>
        <v>264.00777143750031</v>
      </c>
      <c r="Z14">
        <f t="shared" si="11"/>
        <v>539.93786278345078</v>
      </c>
      <c r="AA14">
        <f t="shared" si="11"/>
        <v>917.07894834931835</v>
      </c>
      <c r="AB14">
        <f t="shared" si="11"/>
        <v>1425.2082240768086</v>
      </c>
      <c r="AC14">
        <f t="shared" si="11"/>
        <v>2102.1752561979806</v>
      </c>
      <c r="AD14">
        <f t="shared" si="11"/>
        <v>1690.6866299984886</v>
      </c>
      <c r="AE14">
        <f t="shared" si="11"/>
        <v>2514.5086242781899</v>
      </c>
      <c r="AF14">
        <f t="shared" si="11"/>
        <v>3605.7813279423253</v>
      </c>
      <c r="AG14">
        <f t="shared" si="11"/>
        <v>5040.0143672151025</v>
      </c>
      <c r="AH14">
        <f t="shared" si="11"/>
        <v>6912.8224465141957</v>
      </c>
      <c r="AI14">
        <f>+AH14*0.99</f>
        <v>6843.6942220490537</v>
      </c>
      <c r="AJ14">
        <f t="shared" ref="AJ14:BA14" si="12">+AI14*0.99</f>
        <v>6775.2572798285628</v>
      </c>
      <c r="AK14">
        <f t="shared" si="12"/>
        <v>6707.5047070302771</v>
      </c>
      <c r="AL14">
        <f t="shared" si="12"/>
        <v>6640.4296599599747</v>
      </c>
      <c r="AM14">
        <f t="shared" si="12"/>
        <v>6574.0253633603752</v>
      </c>
      <c r="AN14">
        <f t="shared" si="12"/>
        <v>6508.2851097267712</v>
      </c>
      <c r="AO14">
        <f t="shared" si="12"/>
        <v>6443.2022586295034</v>
      </c>
      <c r="AP14">
        <f t="shared" si="12"/>
        <v>6378.7702360432086</v>
      </c>
      <c r="AQ14">
        <f t="shared" si="12"/>
        <v>6314.9825336827762</v>
      </c>
      <c r="AR14">
        <f t="shared" si="12"/>
        <v>6251.832708345948</v>
      </c>
      <c r="AS14">
        <f t="shared" si="12"/>
        <v>6189.3143812624885</v>
      </c>
      <c r="AT14">
        <f t="shared" si="12"/>
        <v>6127.4212374498638</v>
      </c>
      <c r="AU14">
        <f t="shared" si="12"/>
        <v>6066.1470250753655</v>
      </c>
      <c r="AV14">
        <f t="shared" si="12"/>
        <v>6005.4855548246114</v>
      </c>
      <c r="AW14">
        <f t="shared" si="12"/>
        <v>5945.430699276365</v>
      </c>
      <c r="AX14">
        <f t="shared" si="12"/>
        <v>5885.9763922836009</v>
      </c>
      <c r="AY14">
        <f t="shared" si="12"/>
        <v>5827.1166283607645</v>
      </c>
      <c r="AZ14">
        <f t="shared" si="12"/>
        <v>5768.8454620771572</v>
      </c>
      <c r="BA14">
        <f t="shared" si="12"/>
        <v>5711.1570074563851</v>
      </c>
    </row>
    <row r="15" spans="1:53">
      <c r="A15" t="s">
        <v>32</v>
      </c>
      <c r="F15">
        <f>+F14/F16</f>
        <v>-0.39756835119817829</v>
      </c>
      <c r="G15">
        <f>+G14/G16</f>
        <v>-0.27343588755727349</v>
      </c>
      <c r="H15">
        <f>+H14/H16</f>
        <v>-0.20481230477465445</v>
      </c>
      <c r="I15">
        <f>+I14/I16</f>
        <v>-0.22681117696867073</v>
      </c>
      <c r="J15">
        <f>+J14/J16</f>
        <v>-0.19112996891595183</v>
      </c>
      <c r="K15">
        <f>+K14/K16</f>
        <v>0.12616940581542327</v>
      </c>
      <c r="L15">
        <f>+L14/L16</f>
        <v>-9.8206565146504457E-2</v>
      </c>
      <c r="M15">
        <f>+M14/M16</f>
        <v>-7.8993425408207557E-2</v>
      </c>
      <c r="W15">
        <f>+W14/W16</f>
        <v>-0.37842481474194795</v>
      </c>
      <c r="X15">
        <f t="shared" ref="X15:AH15" si="13">+X14/X16</f>
        <v>0.1480621204669173</v>
      </c>
      <c r="Y15">
        <f t="shared" si="13"/>
        <v>1.7313120298872076</v>
      </c>
      <c r="Z15">
        <f t="shared" si="13"/>
        <v>3.5408083335526968</v>
      </c>
      <c r="AA15">
        <f t="shared" si="13"/>
        <v>6.0140268106060617</v>
      </c>
      <c r="AB15">
        <f t="shared" si="13"/>
        <v>9.346240567098226</v>
      </c>
      <c r="AC15">
        <f t="shared" si="13"/>
        <v>13.785659756036333</v>
      </c>
      <c r="AD15">
        <f t="shared" si="13"/>
        <v>11.087196734202168</v>
      </c>
      <c r="AE15">
        <f t="shared" si="13"/>
        <v>16.489662432147615</v>
      </c>
      <c r="AF15">
        <f t="shared" si="13"/>
        <v>23.646018282787889</v>
      </c>
      <c r="AG15">
        <f t="shared" si="13"/>
        <v>33.051441846777507</v>
      </c>
      <c r="AH15">
        <f t="shared" si="13"/>
        <v>45.332955908677256</v>
      </c>
    </row>
    <row r="16" spans="1:53">
      <c r="A16" t="s">
        <v>2</v>
      </c>
      <c r="F16">
        <v>144.511</v>
      </c>
      <c r="G16">
        <v>145.35400000000001</v>
      </c>
      <c r="H16">
        <v>143.42400000000001</v>
      </c>
      <c r="I16">
        <v>147.625</v>
      </c>
      <c r="J16">
        <v>148.95099999999999</v>
      </c>
      <c r="K16">
        <v>150.29</v>
      </c>
      <c r="L16">
        <v>151.49700000000001</v>
      </c>
      <c r="M16">
        <v>152.55699999999999</v>
      </c>
      <c r="U16" t="s">
        <v>19</v>
      </c>
      <c r="W16">
        <v>152.49</v>
      </c>
      <c r="X16">
        <f>+W16</f>
        <v>152.49</v>
      </c>
      <c r="Y16">
        <f t="shared" ref="Y16:AH16" si="14">+X16</f>
        <v>152.49</v>
      </c>
      <c r="Z16">
        <f t="shared" si="14"/>
        <v>152.49</v>
      </c>
      <c r="AA16">
        <f t="shared" si="14"/>
        <v>152.49</v>
      </c>
      <c r="AB16">
        <f t="shared" si="14"/>
        <v>152.49</v>
      </c>
      <c r="AC16">
        <f t="shared" si="14"/>
        <v>152.49</v>
      </c>
      <c r="AD16">
        <f t="shared" si="14"/>
        <v>152.49</v>
      </c>
      <c r="AE16">
        <f t="shared" si="14"/>
        <v>152.49</v>
      </c>
      <c r="AF16">
        <f t="shared" si="14"/>
        <v>152.49</v>
      </c>
      <c r="AG16">
        <f t="shared" si="14"/>
        <v>152.49</v>
      </c>
      <c r="AH16">
        <f t="shared" si="14"/>
        <v>152.49</v>
      </c>
    </row>
    <row r="17" spans="1:34">
      <c r="V17" t="s">
        <v>19</v>
      </c>
      <c r="W17" t="s">
        <v>19</v>
      </c>
    </row>
    <row r="18" spans="1:34">
      <c r="A18" t="s">
        <v>33</v>
      </c>
      <c r="F18" s="2">
        <f t="shared" ref="F18" si="15">+F5/F3</f>
        <v>0.77398232189020588</v>
      </c>
      <c r="G18" s="2">
        <f t="shared" ref="G18:M18" si="16">+G5/G3</f>
        <v>0.77113419293218721</v>
      </c>
      <c r="H18" s="2">
        <f t="shared" si="16"/>
        <v>0.77432825061647537</v>
      </c>
      <c r="I18" s="2">
        <f t="shared" si="16"/>
        <v>0.77573318461938012</v>
      </c>
      <c r="J18" s="2">
        <f t="shared" si="16"/>
        <v>0.77676338431120817</v>
      </c>
      <c r="K18" s="2">
        <f t="shared" si="16"/>
        <v>0.78602801701924518</v>
      </c>
      <c r="L18" s="2">
        <f t="shared" si="16"/>
        <v>0.78038113036966061</v>
      </c>
      <c r="M18" s="2">
        <f t="shared" si="16"/>
        <v>0.77472589596388275</v>
      </c>
      <c r="O18" t="s">
        <v>34</v>
      </c>
      <c r="P18" s="2">
        <v>0.09</v>
      </c>
      <c r="S18" s="2">
        <f t="shared" ref="S18:AH18" si="17">+S5/S3</f>
        <v>0.77802021476155248</v>
      </c>
      <c r="T18" s="2">
        <f t="shared" si="17"/>
        <v>0.7766795424156886</v>
      </c>
      <c r="U18" s="2">
        <f t="shared" si="17"/>
        <v>0.77791568051947568</v>
      </c>
      <c r="V18" s="2">
        <f t="shared" si="17"/>
        <v>0.77560743918186803</v>
      </c>
      <c r="W18" s="2">
        <f t="shared" si="17"/>
        <v>0.77989879927353956</v>
      </c>
      <c r="X18" s="2">
        <f t="shared" si="17"/>
        <v>0.77</v>
      </c>
      <c r="Y18" s="2">
        <f t="shared" si="17"/>
        <v>0.77</v>
      </c>
      <c r="Z18" s="2">
        <f t="shared" si="17"/>
        <v>0.77</v>
      </c>
      <c r="AA18" s="2">
        <f t="shared" si="17"/>
        <v>0.77</v>
      </c>
      <c r="AB18" s="2">
        <f t="shared" si="17"/>
        <v>0.77</v>
      </c>
      <c r="AC18" s="2">
        <f t="shared" si="17"/>
        <v>0.77</v>
      </c>
      <c r="AD18" s="2">
        <f t="shared" si="17"/>
        <v>0.77</v>
      </c>
      <c r="AE18" s="2">
        <f t="shared" si="17"/>
        <v>0.77</v>
      </c>
      <c r="AF18" s="2">
        <f t="shared" si="17"/>
        <v>0.77</v>
      </c>
      <c r="AG18" s="2">
        <f t="shared" si="17"/>
        <v>0.77</v>
      </c>
      <c r="AH18" s="2">
        <f t="shared" si="17"/>
        <v>0.77</v>
      </c>
    </row>
    <row r="19" spans="1:34">
      <c r="A19" t="s">
        <v>35</v>
      </c>
      <c r="F19" s="2">
        <f>+F6/F3</f>
        <v>0.60873637118870583</v>
      </c>
      <c r="G19" s="2">
        <f t="shared" ref="G19:M19" si="18">+G6/G3</f>
        <v>0.56416666666666659</v>
      </c>
      <c r="H19" s="2">
        <f t="shared" si="18"/>
        <v>0.55561904678180074</v>
      </c>
      <c r="I19" s="2">
        <f t="shared" si="18"/>
        <v>0.53776804247206078</v>
      </c>
      <c r="J19" s="2">
        <f t="shared" si="18"/>
        <v>0.52663147929805576</v>
      </c>
      <c r="K19" s="2">
        <f t="shared" si="18"/>
        <v>0.47456968180231857</v>
      </c>
      <c r="L19" s="2">
        <f t="shared" si="18"/>
        <v>0.49623187623551945</v>
      </c>
      <c r="M19" s="2">
        <f t="shared" si="18"/>
        <v>0.48743460916785436</v>
      </c>
      <c r="O19" t="s">
        <v>36</v>
      </c>
      <c r="P19" s="3">
        <f>+NPV(P18,X14:BA14)-main!L5+main!L6</f>
        <v>32856.47652751681</v>
      </c>
      <c r="S19" s="2">
        <f t="shared" ref="S19:AH19" si="19">+S6/S3</f>
        <v>0.64456522495240787</v>
      </c>
      <c r="T19" s="2">
        <f t="shared" si="19"/>
        <v>0.68252414202941614</v>
      </c>
      <c r="U19" s="2">
        <f t="shared" si="19"/>
        <v>0.67392794877106665</v>
      </c>
      <c r="V19" s="2">
        <f t="shared" si="19"/>
        <v>0.58991485214156014</v>
      </c>
      <c r="W19" s="2">
        <f t="shared" si="19"/>
        <v>0.50754392415065974</v>
      </c>
      <c r="X19" s="2">
        <f t="shared" si="19"/>
        <v>0.46694041021860699</v>
      </c>
      <c r="Y19" s="2">
        <f t="shared" si="19"/>
        <v>0.4295851774011184</v>
      </c>
      <c r="Z19" s="2">
        <f t="shared" si="19"/>
        <v>0.39521836320902887</v>
      </c>
      <c r="AA19" s="2">
        <f t="shared" si="19"/>
        <v>0.36360089415230656</v>
      </c>
      <c r="AB19" s="2">
        <f t="shared" si="19"/>
        <v>0.334512822620122</v>
      </c>
      <c r="AC19" s="2">
        <f t="shared" si="19"/>
        <v>0.30775179681051218</v>
      </c>
      <c r="AD19" s="2">
        <f t="shared" si="19"/>
        <v>0.35391456633208901</v>
      </c>
      <c r="AE19" s="2">
        <f t="shared" si="19"/>
        <v>0.32560140102552182</v>
      </c>
      <c r="AF19" s="2">
        <f t="shared" si="19"/>
        <v>0.2995532889434801</v>
      </c>
      <c r="AG19" s="2">
        <f t="shared" si="19"/>
        <v>0.27558902582800165</v>
      </c>
      <c r="AH19" s="2">
        <f t="shared" si="19"/>
        <v>0.25354190376176144</v>
      </c>
    </row>
    <row r="20" spans="1:34">
      <c r="A20" t="s">
        <v>37</v>
      </c>
      <c r="F20" s="2">
        <f>+F7/F3</f>
        <v>0.2212730715844767</v>
      </c>
      <c r="G20" s="2">
        <f t="shared" ref="G20:M20" si="20">+G7/G3</f>
        <v>0.22119627507163322</v>
      </c>
      <c r="H20" s="2">
        <f t="shared" si="20"/>
        <v>0.21183676698768808</v>
      </c>
      <c r="I20" s="2">
        <f t="shared" si="20"/>
        <v>0.22858529141156789</v>
      </c>
      <c r="J20" s="2">
        <f t="shared" si="20"/>
        <v>0.23272615757363346</v>
      </c>
      <c r="K20" s="2">
        <f t="shared" si="20"/>
        <v>0.22595525305548977</v>
      </c>
      <c r="L20" s="2">
        <f t="shared" si="20"/>
        <v>0.23470654513314937</v>
      </c>
      <c r="M20" s="2">
        <f t="shared" si="20"/>
        <v>0.24564499048498695</v>
      </c>
      <c r="O20" t="s">
        <v>38</v>
      </c>
      <c r="P20">
        <f>+P19/main!L3</f>
        <v>215.45230509847087</v>
      </c>
      <c r="S20" s="2">
        <f t="shared" ref="S20:AH20" si="21">+S7/S3</f>
        <v>0.22695579788948431</v>
      </c>
      <c r="T20" s="2">
        <f t="shared" si="21"/>
        <v>0.25947556083791412</v>
      </c>
      <c r="U20" s="2">
        <f t="shared" si="21"/>
        <v>0.26503511631189813</v>
      </c>
      <c r="V20" s="2">
        <f t="shared" si="21"/>
        <v>0.2162927532790089</v>
      </c>
      <c r="W20" s="2">
        <f t="shared" si="21"/>
        <v>0.23057232521331816</v>
      </c>
      <c r="X20" s="2">
        <f t="shared" si="21"/>
        <v>0.20290364618771997</v>
      </c>
      <c r="Y20" s="2">
        <f t="shared" si="21"/>
        <v>0.17855520864519359</v>
      </c>
      <c r="Z20" s="2">
        <f t="shared" si="21"/>
        <v>0.15712858360777035</v>
      </c>
      <c r="AA20" s="2">
        <f t="shared" si="21"/>
        <v>0.13827315357483794</v>
      </c>
      <c r="AB20" s="2">
        <f t="shared" si="21"/>
        <v>0.12168037514585739</v>
      </c>
      <c r="AC20" s="2">
        <f t="shared" si="21"/>
        <v>0.1070787301283545</v>
      </c>
      <c r="AD20" s="2">
        <f t="shared" si="21"/>
        <v>0.11778660314118995</v>
      </c>
      <c r="AE20" s="2">
        <f t="shared" si="21"/>
        <v>0.10365221076424717</v>
      </c>
      <c r="AF20" s="2">
        <f t="shared" si="21"/>
        <v>9.1213945472537528E-2</v>
      </c>
      <c r="AG20" s="2">
        <f t="shared" si="21"/>
        <v>8.0268272015833045E-2</v>
      </c>
      <c r="AH20" s="2">
        <f t="shared" si="21"/>
        <v>7.0636079373933069E-2</v>
      </c>
    </row>
    <row r="21" spans="1:34">
      <c r="A21" t="s">
        <v>39</v>
      </c>
      <c r="F21" s="2">
        <f>+F8/F3</f>
        <v>0.11228644110650725</v>
      </c>
      <c r="G21" s="2">
        <f t="shared" ref="G21:M21" si="22">+G8/G3</f>
        <v>0.10383476599808977</v>
      </c>
      <c r="H21" s="2">
        <f t="shared" si="22"/>
        <v>0.1019327217663064</v>
      </c>
      <c r="I21" s="2">
        <f t="shared" si="22"/>
        <v>0.10210528223103142</v>
      </c>
      <c r="J21" s="2">
        <f t="shared" si="22"/>
        <v>0.10399067426795099</v>
      </c>
      <c r="K21" s="2">
        <f t="shared" si="22"/>
        <v>9.1276823122449252E-2</v>
      </c>
      <c r="L21" s="2">
        <f t="shared" si="22"/>
        <v>9.489970786077169E-2</v>
      </c>
      <c r="M21" s="2">
        <f t="shared" si="22"/>
        <v>9.0482598275354126E-2</v>
      </c>
      <c r="S21" s="2">
        <f t="shared" ref="S21:AH21" si="23">+S8/S3</f>
        <v>0.17073334740034643</v>
      </c>
      <c r="T21" s="2">
        <f t="shared" si="23"/>
        <v>0.1434185113653246</v>
      </c>
      <c r="U21" s="2">
        <f t="shared" si="23"/>
        <v>0.13908571093344677</v>
      </c>
      <c r="V21" s="2">
        <f t="shared" si="23"/>
        <v>0.10980165150233279</v>
      </c>
      <c r="W21" s="2">
        <f t="shared" si="23"/>
        <v>9.7820295593953402E-2</v>
      </c>
      <c r="X21" s="2">
        <f t="shared" si="23"/>
        <v>8.9994671946437121E-2</v>
      </c>
      <c r="Y21" s="2">
        <f t="shared" si="23"/>
        <v>8.2795098190722158E-2</v>
      </c>
      <c r="Z21" s="2">
        <f t="shared" si="23"/>
        <v>7.6171490335464373E-2</v>
      </c>
      <c r="AA21" s="2">
        <f t="shared" si="23"/>
        <v>7.0077771108627215E-2</v>
      </c>
      <c r="AB21" s="2">
        <f t="shared" si="23"/>
        <v>6.4471549419937046E-2</v>
      </c>
      <c r="AC21" s="2">
        <f t="shared" si="23"/>
        <v>5.931382546634207E-2</v>
      </c>
      <c r="AD21" s="2">
        <f t="shared" si="23"/>
        <v>6.8210899286293369E-2</v>
      </c>
      <c r="AE21" s="2">
        <f t="shared" si="23"/>
        <v>6.2754027343389904E-2</v>
      </c>
      <c r="AF21" s="2">
        <f t="shared" si="23"/>
        <v>5.7733705155918705E-2</v>
      </c>
      <c r="AG21" s="2">
        <f t="shared" si="23"/>
        <v>5.3115008743445206E-2</v>
      </c>
      <c r="AH21" s="2">
        <f t="shared" si="23"/>
        <v>4.8865808043969582E-2</v>
      </c>
    </row>
    <row r="22" spans="1:34">
      <c r="A22" t="s">
        <v>40</v>
      </c>
      <c r="F22" s="2">
        <f>+F13/F12</f>
        <v>-6.8674317814028843E-2</v>
      </c>
      <c r="G22" s="2">
        <f t="shared" ref="G22:M22" si="24">+G13/G12</f>
        <v>-0.20220810647307966</v>
      </c>
      <c r="H22" s="2">
        <f t="shared" si="24"/>
        <v>-0.18797266146317756</v>
      </c>
      <c r="I22" s="2">
        <f t="shared" si="24"/>
        <v>-0.36743445234011252</v>
      </c>
      <c r="J22" s="2">
        <f t="shared" si="24"/>
        <v>-0.38839307485979152</v>
      </c>
      <c r="K22" s="2">
        <f t="shared" si="24"/>
        <v>8.3341390312288655E-2</v>
      </c>
      <c r="L22" s="2">
        <f t="shared" si="24"/>
        <v>-1.9149686520376217</v>
      </c>
      <c r="M22" s="2">
        <f t="shared" si="24"/>
        <v>-1.7301767104667283</v>
      </c>
      <c r="S22" s="2">
        <f t="shared" ref="S22:AH22" si="25">+S13/S12</f>
        <v>-2.1179976584950504E-2</v>
      </c>
      <c r="T22" s="2">
        <f t="shared" si="25"/>
        <v>-1.886242213564147E-2</v>
      </c>
      <c r="U22" s="2">
        <f t="shared" si="25"/>
        <v>-1.7329197403748383E-2</v>
      </c>
      <c r="V22" s="2">
        <f t="shared" si="25"/>
        <v>-0.11300038865137949</v>
      </c>
      <c r="W22" s="2">
        <f t="shared" si="25"/>
        <v>-0.97427212699717225</v>
      </c>
      <c r="X22" s="2">
        <f t="shared" si="25"/>
        <v>0.18000000000000002</v>
      </c>
      <c r="Y22" s="2">
        <f t="shared" si="25"/>
        <v>0.18</v>
      </c>
      <c r="Z22" s="2">
        <f t="shared" si="25"/>
        <v>0.18</v>
      </c>
      <c r="AA22" s="2">
        <f t="shared" si="25"/>
        <v>0.18</v>
      </c>
      <c r="AB22" s="2">
        <f t="shared" si="25"/>
        <v>0.18</v>
      </c>
      <c r="AC22" s="2">
        <f t="shared" si="25"/>
        <v>0.18</v>
      </c>
      <c r="AD22" s="2">
        <f t="shared" si="25"/>
        <v>0.18</v>
      </c>
      <c r="AE22" s="2">
        <f t="shared" si="25"/>
        <v>0.17999999999999997</v>
      </c>
      <c r="AF22" s="2">
        <f t="shared" si="25"/>
        <v>0.18</v>
      </c>
      <c r="AG22" s="2">
        <f t="shared" si="25"/>
        <v>0.18</v>
      </c>
      <c r="AH22" s="2">
        <f t="shared" si="25"/>
        <v>0.18</v>
      </c>
    </row>
    <row r="23" spans="1:34">
      <c r="A23" t="s">
        <v>41</v>
      </c>
      <c r="J23" s="2">
        <f>+J14/F14-1</f>
        <v>-0.50448192435556072</v>
      </c>
      <c r="K23" s="2">
        <f t="shared" ref="K23:M23" si="26">+K14/G14-1</f>
        <v>-1.4770914580450369</v>
      </c>
      <c r="L23" s="2">
        <f t="shared" si="26"/>
        <v>-0.49351489361702239</v>
      </c>
      <c r="M23" s="2">
        <f t="shared" si="26"/>
        <v>-0.6400860137980493</v>
      </c>
      <c r="S23" s="2"/>
      <c r="T23" s="2"/>
      <c r="U23" s="2"/>
      <c r="V23" s="2"/>
      <c r="W23" s="2">
        <f t="shared" ref="W23" si="27">+W14/S14-1</f>
        <v>-0.4988014174541443</v>
      </c>
      <c r="X23" s="2">
        <f t="shared" ref="X23" si="28">+X14/T14-1</f>
        <v>-1.086166007388496</v>
      </c>
      <c r="Y23" s="2">
        <f t="shared" ref="Y23" si="29">+Y14/U14-1</f>
        <v>-1.6764608085454471</v>
      </c>
      <c r="Z23" s="2">
        <f t="shared" ref="Z23" si="30">+Z14/V14-1</f>
        <v>-3.7726801180242369</v>
      </c>
      <c r="AA23" s="2">
        <f t="shared" ref="AA23" si="31">+AA14/W14-1</f>
        <v>-16.892263340888711</v>
      </c>
      <c r="AB23" s="2">
        <f t="shared" ref="AB23" si="32">+AB14/X14-1</f>
        <v>62.123778976180013</v>
      </c>
      <c r="AC23" s="2">
        <f t="shared" ref="AC23" si="33">+AC14/Y14-1</f>
        <v>6.9625506656558311</v>
      </c>
      <c r="AD23" s="2">
        <f t="shared" ref="AD23" si="34">+AD14/Z14-1</f>
        <v>2.1312614775388714</v>
      </c>
      <c r="AE23" s="2">
        <f t="shared" ref="AE23" si="35">+AE14/AA14-1</f>
        <v>1.7418671302008835</v>
      </c>
      <c r="AF23" s="2">
        <f t="shared" ref="AF23" si="36">+AF14/AB14-1</f>
        <v>1.5300031721877008</v>
      </c>
      <c r="AG23" s="2">
        <f t="shared" ref="AG23" si="37">+AG14/AC14-1</f>
        <v>1.3975233997999448</v>
      </c>
      <c r="AH23" s="2">
        <f t="shared" ref="AH23" si="38">+AH14/AD14-1</f>
        <v>3.0887662585469053</v>
      </c>
    </row>
    <row r="24" spans="1:34">
      <c r="A24" t="s">
        <v>42</v>
      </c>
      <c r="J24" s="2">
        <f t="shared" ref="J24:L24" si="39">+J6/F6-1</f>
        <v>0.17180275064103934</v>
      </c>
      <c r="K24" s="2">
        <f t="shared" si="39"/>
        <v>0.11077863319126613</v>
      </c>
      <c r="L24" s="2">
        <f t="shared" si="39"/>
        <v>0.16371978956528621</v>
      </c>
      <c r="M24" s="2">
        <f>+M6/I6-1</f>
        <v>0.14591686602199094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6" spans="1:34">
      <c r="A26" t="s">
        <v>43</v>
      </c>
      <c r="M26">
        <f>+M27-M38</f>
        <v>2707.8969999999999</v>
      </c>
      <c r="X26">
        <f>+M26</f>
        <v>2707.8969999999999</v>
      </c>
      <c r="Y26">
        <f>+X26+Y14</f>
        <v>2971.9047714375001</v>
      </c>
      <c r="Z26">
        <f t="shared" ref="Z26:AH26" si="40">+Y26+Z14</f>
        <v>3511.8426342209509</v>
      </c>
      <c r="AA26">
        <f t="shared" si="40"/>
        <v>4428.9215825702695</v>
      </c>
      <c r="AB26">
        <f t="shared" si="40"/>
        <v>5854.1298066470781</v>
      </c>
      <c r="AC26">
        <f t="shared" si="40"/>
        <v>7956.3050628450583</v>
      </c>
      <c r="AD26">
        <f t="shared" si="40"/>
        <v>9646.9916928435468</v>
      </c>
      <c r="AE26">
        <f t="shared" si="40"/>
        <v>12161.500317121736</v>
      </c>
      <c r="AF26">
        <f t="shared" si="40"/>
        <v>15767.28164506406</v>
      </c>
      <c r="AG26">
        <f t="shared" si="40"/>
        <v>20807.296012279163</v>
      </c>
      <c r="AH26">
        <f t="shared" si="40"/>
        <v>27720.11845879336</v>
      </c>
    </row>
    <row r="27" spans="1:34">
      <c r="A27" t="s">
        <v>44</v>
      </c>
      <c r="M27">
        <f>1553.645+1154.252</f>
        <v>2707.8969999999999</v>
      </c>
    </row>
    <row r="28" spans="1:34">
      <c r="A28" t="s">
        <v>45</v>
      </c>
      <c r="M28">
        <v>424.57299999999998</v>
      </c>
    </row>
    <row r="29" spans="1:34">
      <c r="A29" t="s">
        <v>46</v>
      </c>
      <c r="M29">
        <v>152.47499999999999</v>
      </c>
    </row>
    <row r="30" spans="1:34">
      <c r="A30" t="s">
        <v>47</v>
      </c>
      <c r="M30">
        <v>108.83499999999999</v>
      </c>
    </row>
    <row r="31" spans="1:34">
      <c r="A31" t="s">
        <v>48</v>
      </c>
      <c r="M31">
        <v>409.005</v>
      </c>
    </row>
    <row r="32" spans="1:34">
      <c r="A32" t="s">
        <v>49</v>
      </c>
      <c r="M32">
        <v>84.090999999999994</v>
      </c>
    </row>
    <row r="33" spans="1:13">
      <c r="A33" t="s">
        <v>50</v>
      </c>
      <c r="M33">
        <v>286.65600000000001</v>
      </c>
    </row>
    <row r="34" spans="1:13">
      <c r="A34" t="s">
        <v>51</v>
      </c>
      <c r="M34">
        <f>59.595+417.029</f>
        <v>476.62400000000002</v>
      </c>
    </row>
    <row r="35" spans="1:13">
      <c r="A35" t="s">
        <v>52</v>
      </c>
      <c r="M35">
        <v>58.845999999999997</v>
      </c>
    </row>
    <row r="36" spans="1:13">
      <c r="A36" t="s">
        <v>53</v>
      </c>
      <c r="M36">
        <f>+SUM(M27:M35)</f>
        <v>4709.0019999999995</v>
      </c>
    </row>
    <row r="38" spans="1:13">
      <c r="A38" t="s">
        <v>5</v>
      </c>
      <c r="M38">
        <v>0</v>
      </c>
    </row>
    <row r="39" spans="1:13">
      <c r="A39" t="s">
        <v>54</v>
      </c>
      <c r="M39">
        <v>25.367999999999999</v>
      </c>
    </row>
    <row r="40" spans="1:13">
      <c r="A40" t="s">
        <v>55</v>
      </c>
      <c r="M40">
        <v>83.384</v>
      </c>
    </row>
    <row r="41" spans="1:13">
      <c r="A41" t="s">
        <v>56</v>
      </c>
      <c r="M41">
        <v>126.379</v>
      </c>
    </row>
    <row r="42" spans="1:13">
      <c r="A42" t="s">
        <v>34</v>
      </c>
      <c r="M42">
        <f>1533.08+250.64</f>
        <v>1783.7199999999998</v>
      </c>
    </row>
    <row r="43" spans="1:13">
      <c r="A43" t="s">
        <v>57</v>
      </c>
      <c r="M43">
        <v>1145.799</v>
      </c>
    </row>
    <row r="44" spans="1:13">
      <c r="A44" t="s">
        <v>58</v>
      </c>
      <c r="M44">
        <f>49.6+41.938</f>
        <v>91.538000000000011</v>
      </c>
    </row>
    <row r="45" spans="1:13">
      <c r="A45" t="s">
        <v>52</v>
      </c>
      <c r="M45">
        <v>24.268999999999998</v>
      </c>
    </row>
    <row r="46" spans="1:13">
      <c r="A46" t="s">
        <v>59</v>
      </c>
      <c r="M46">
        <f>+SUM(M38:M45)</f>
        <v>3280.4569999999994</v>
      </c>
    </row>
    <row r="48" spans="1:13">
      <c r="A48" t="s">
        <v>60</v>
      </c>
      <c r="M48">
        <f>+M36-M46</f>
        <v>1428.5450000000001</v>
      </c>
    </row>
    <row r="49" spans="1:23">
      <c r="A49" t="s">
        <v>61</v>
      </c>
      <c r="M49">
        <f>+M48+M46</f>
        <v>4709.0019999999995</v>
      </c>
    </row>
    <row r="51" spans="1:23">
      <c r="A51" t="s">
        <v>62</v>
      </c>
      <c r="M51" s="2">
        <f>+M14*4/M36</f>
        <v>-1.0236563925859383E-2</v>
      </c>
    </row>
    <row r="52" spans="1:23">
      <c r="A52" t="s">
        <v>63</v>
      </c>
      <c r="M52" s="2">
        <f>+M14*4/M48</f>
        <v>-3.3743424253348461E-2</v>
      </c>
    </row>
    <row r="54" spans="1:23">
      <c r="A54" t="s">
        <v>64</v>
      </c>
      <c r="I54">
        <v>260.80599999999998</v>
      </c>
      <c r="M54">
        <v>331.33499999999998</v>
      </c>
      <c r="T54">
        <v>202</v>
      </c>
      <c r="U54">
        <v>321.89999999999998</v>
      </c>
      <c r="V54">
        <v>462.3</v>
      </c>
      <c r="W54">
        <v>779.8</v>
      </c>
    </row>
    <row r="55" spans="1:23">
      <c r="A55" t="s">
        <v>65</v>
      </c>
      <c r="I55">
        <v>-162.54499999999999</v>
      </c>
      <c r="M55">
        <v>-201.66</v>
      </c>
      <c r="T55">
        <v>-109.7</v>
      </c>
      <c r="U55">
        <v>374.1</v>
      </c>
      <c r="V55">
        <v>-259.3</v>
      </c>
      <c r="W55">
        <v>-683.2</v>
      </c>
    </row>
    <row r="56" spans="1:23">
      <c r="A56" t="s">
        <v>66</v>
      </c>
      <c r="I56">
        <v>1.256</v>
      </c>
      <c r="M56">
        <v>0.89</v>
      </c>
      <c r="T56">
        <v>41.7</v>
      </c>
      <c r="U56">
        <v>41.3</v>
      </c>
      <c r="V56">
        <v>46</v>
      </c>
      <c r="W56">
        <v>64.2</v>
      </c>
    </row>
    <row r="58" spans="1:23">
      <c r="A58" t="s">
        <v>67</v>
      </c>
      <c r="I58">
        <v>-28.658999999999999</v>
      </c>
      <c r="M58">
        <v>-17.024999999999999</v>
      </c>
      <c r="T58">
        <v>-58.3</v>
      </c>
      <c r="U58">
        <v>90.6</v>
      </c>
      <c r="V58">
        <v>128.69999999999999</v>
      </c>
      <c r="W58">
        <v>194.9</v>
      </c>
    </row>
    <row r="59" spans="1:23">
      <c r="A59" t="s">
        <v>68</v>
      </c>
      <c r="I59">
        <f>+I54+I55+I56-I58</f>
        <v>128.17599999999999</v>
      </c>
      <c r="M59">
        <f>+M54+M55+M56-M58</f>
        <v>147.58999999999997</v>
      </c>
      <c r="T59">
        <f t="shared" ref="T59:V59" si="41">+T54+T55+T56-T58</f>
        <v>192.3</v>
      </c>
      <c r="U59">
        <f t="shared" si="41"/>
        <v>646.69999999999993</v>
      </c>
      <c r="V59">
        <f t="shared" si="41"/>
        <v>120.30000000000001</v>
      </c>
      <c r="W59">
        <f>+W54+W55+W56-W58</f>
        <v>-34.100000000000108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2025-02-18T08:14:10Z</dcterms:created>
  <dcterms:modified xsi:type="dcterms:W3CDTF">2025-02-18T13:35:43Z</dcterms:modified>
  <cp:category/>
  <cp:contentStatus/>
</cp:coreProperties>
</file>