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93" documentId="13_ncr:1_{2EFFA12C-FF92-4A6C-A531-D8451F3C8F81}" xr6:coauthVersionLast="47" xr6:coauthVersionMax="47" xr10:uidLastSave="{B761A6CD-4319-40C0-8C62-3051EF58FCBB}"/>
  <bookViews>
    <workbookView xWindow="-105" yWindow="0" windowWidth="14610" windowHeight="15585" activeTab="1" xr2:uid="{96C9B965-13A3-43DF-96C2-385B83502C8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" i="2" l="1"/>
  <c r="S17" i="2"/>
  <c r="S11" i="2"/>
  <c r="T14" i="2"/>
  <c r="T10" i="2"/>
  <c r="T6" i="2"/>
  <c r="T11" i="2" s="1"/>
  <c r="T15" i="2" s="1"/>
  <c r="T17" i="2" s="1"/>
  <c r="T19" i="2" s="1"/>
  <c r="T20" i="2" s="1"/>
  <c r="K6" i="1"/>
  <c r="K7" i="1"/>
  <c r="AA3" i="2" l="1"/>
  <c r="AA4" i="2"/>
  <c r="AA5" i="2"/>
  <c r="AA7" i="2"/>
  <c r="AA8" i="2"/>
  <c r="AA9" i="2"/>
  <c r="Z21" i="2"/>
  <c r="AA21" i="2"/>
  <c r="AA18" i="2"/>
  <c r="AA17" i="2"/>
  <c r="AA16" i="2"/>
  <c r="AA13" i="2"/>
  <c r="AA12" i="2"/>
  <c r="J30" i="2"/>
  <c r="M26" i="2" l="1"/>
  <c r="L26" i="2"/>
  <c r="K26" i="2"/>
  <c r="J26" i="2"/>
  <c r="M25" i="2"/>
  <c r="L25" i="2"/>
  <c r="K25" i="2"/>
  <c r="J25" i="2"/>
  <c r="H19" i="2"/>
  <c r="M30" i="2"/>
  <c r="L30" i="2"/>
  <c r="K30" i="2"/>
  <c r="F30" i="2"/>
  <c r="AA30" i="2"/>
  <c r="Z18" i="2"/>
  <c r="Z17" i="2"/>
  <c r="Z16" i="2"/>
  <c r="Z13" i="2"/>
  <c r="AA26" i="2" s="1"/>
  <c r="Z12" i="2"/>
  <c r="Z9" i="2"/>
  <c r="Z8" i="2"/>
  <c r="Z7" i="2"/>
  <c r="Z5" i="2"/>
  <c r="Z4" i="2"/>
  <c r="Z3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Z14" i="2" l="1"/>
  <c r="AA25" i="2"/>
  <c r="Z19" i="2"/>
  <c r="Z20" i="2" s="1"/>
  <c r="AA19" i="2"/>
  <c r="AA20" i="2" s="1"/>
  <c r="Z30" i="2"/>
  <c r="G14" i="2" l="1"/>
  <c r="G10" i="2"/>
  <c r="G6" i="2"/>
  <c r="K19" i="2"/>
  <c r="K20" i="2" s="1"/>
  <c r="K14" i="2"/>
  <c r="K10" i="2"/>
  <c r="K6" i="2"/>
  <c r="K24" i="2" l="1"/>
  <c r="K27" i="2"/>
  <c r="G11" i="2"/>
  <c r="K11" i="2"/>
  <c r="K15" i="2" l="1"/>
  <c r="K29" i="2"/>
  <c r="G15" i="2"/>
  <c r="G29" i="2"/>
  <c r="H6" i="2"/>
  <c r="I6" i="2"/>
  <c r="H10" i="2"/>
  <c r="I10" i="2"/>
  <c r="H14" i="2"/>
  <c r="I14" i="2"/>
  <c r="I19" i="2"/>
  <c r="I20" i="2" s="1"/>
  <c r="L6" i="2"/>
  <c r="M6" i="2"/>
  <c r="L10" i="2"/>
  <c r="M10" i="2"/>
  <c r="L14" i="2"/>
  <c r="M14" i="2"/>
  <c r="L19" i="2"/>
  <c r="L20" i="2" s="1"/>
  <c r="M19" i="2"/>
  <c r="M20" i="2" s="1"/>
  <c r="J19" i="2"/>
  <c r="J20" i="2" s="1"/>
  <c r="J14" i="2"/>
  <c r="J10" i="2"/>
  <c r="J6" i="2"/>
  <c r="F19" i="2"/>
  <c r="F14" i="2"/>
  <c r="F10" i="2"/>
  <c r="F6" i="2"/>
  <c r="K8" i="1"/>
  <c r="K5" i="1"/>
  <c r="Z10" i="2" l="1"/>
  <c r="I11" i="2"/>
  <c r="I29" i="2" s="1"/>
  <c r="H11" i="2"/>
  <c r="H15" i="2" s="1"/>
  <c r="J24" i="2"/>
  <c r="AA6" i="2"/>
  <c r="J27" i="2"/>
  <c r="AA14" i="2"/>
  <c r="M24" i="2"/>
  <c r="M27" i="2"/>
  <c r="L24" i="2"/>
  <c r="L27" i="2"/>
  <c r="AA10" i="2"/>
  <c r="L11" i="2"/>
  <c r="K9" i="1"/>
  <c r="J11" i="2"/>
  <c r="I15" i="2"/>
  <c r="F11" i="2"/>
  <c r="Z6" i="2"/>
  <c r="M11" i="2"/>
  <c r="H29" i="2" l="1"/>
  <c r="Z11" i="2"/>
  <c r="Z29" i="2" s="1"/>
  <c r="F15" i="2"/>
  <c r="F29" i="2"/>
  <c r="J15" i="2"/>
  <c r="J29" i="2"/>
  <c r="L15" i="2"/>
  <c r="L29" i="2"/>
  <c r="AA24" i="2"/>
  <c r="AA27" i="2"/>
  <c r="M15" i="2"/>
  <c r="M29" i="2"/>
  <c r="Z15" i="2"/>
  <c r="AA11" i="2"/>
  <c r="AA15" i="2" l="1"/>
  <c r="AC6" i="2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W10" i="2" s="1"/>
  <c r="W11" i="2" s="1"/>
  <c r="W12" i="2" s="1"/>
  <c r="W14" i="2" s="1"/>
  <c r="AA29" i="2"/>
</calcChain>
</file>

<file path=xl/sharedStrings.xml><?xml version="1.0" encoding="utf-8"?>
<sst xmlns="http://schemas.openxmlformats.org/spreadsheetml/2006/main" count="120" uniqueCount="92">
  <si>
    <t>Price</t>
  </si>
  <si>
    <t>Share</t>
  </si>
  <si>
    <t>MC</t>
  </si>
  <si>
    <t>Cash</t>
  </si>
  <si>
    <t>Debt</t>
  </si>
  <si>
    <t>NC</t>
  </si>
  <si>
    <t>EV</t>
  </si>
  <si>
    <t xml:space="preserve"> </t>
  </si>
  <si>
    <t>SYM</t>
  </si>
  <si>
    <t>Systems</t>
  </si>
  <si>
    <t>Software maintenance and support</t>
  </si>
  <si>
    <t xml:space="preserve">Operation services 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</si>
  <si>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</si>
  <si>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</si>
  <si>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</si>
  <si>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</si>
  <si>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</si>
  <si>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</si>
  <si>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</si>
  <si>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</si>
  <si>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</si>
  <si>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</si>
  <si>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</si>
  <si>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 xml:space="preserve">Q323 </t>
  </si>
  <si>
    <t>Q423</t>
  </si>
  <si>
    <t>COSS</t>
  </si>
  <si>
    <t xml:space="preserve">Gross Profit </t>
  </si>
  <si>
    <t>R&amp;D</t>
  </si>
  <si>
    <t>SG&amp;A</t>
  </si>
  <si>
    <t>OPEX</t>
  </si>
  <si>
    <t xml:space="preserve">Interest income </t>
  </si>
  <si>
    <t xml:space="preserve">Pretaxe income </t>
  </si>
  <si>
    <t>Taxes</t>
  </si>
  <si>
    <t>Shares</t>
  </si>
  <si>
    <t>EPS</t>
  </si>
  <si>
    <t>Net income</t>
  </si>
  <si>
    <t xml:space="preserve">Operating profit  </t>
  </si>
  <si>
    <t>revenue Y/Y</t>
  </si>
  <si>
    <t>R&amp;D Y/Y</t>
  </si>
  <si>
    <t>SG&amp;A Y/Y</t>
  </si>
  <si>
    <t>Net income Y/Y</t>
  </si>
  <si>
    <t xml:space="preserve">  </t>
  </si>
  <si>
    <t>deve tar errado</t>
  </si>
  <si>
    <t>The platform is composed of atomizing robotics, a buffering structure, autonomous mobile robots that handle product, robotic palletizing cells, and software to operate the robotics</t>
  </si>
  <si>
    <t>The Company is engaged in developing, commercializing, and deploying advanced, end-to-end technology solutions that improve supply chain operations.</t>
  </si>
  <si>
    <t>Symbotic is focused on artificial intelligence (AI)-enabled robotics automation technology.</t>
  </si>
  <si>
    <t>The robots they operate are way faster than comprtitors. Running up to 25 mph</t>
  </si>
  <si>
    <t>The Systems are ajustable to facility infraestrature available</t>
  </si>
  <si>
    <t>Sometimes robots get in trouble due to bugs or inventorie default misscounts</t>
  </si>
  <si>
    <t>Pros:</t>
  </si>
  <si>
    <t>Cons:</t>
  </si>
  <si>
    <t>Info:</t>
  </si>
  <si>
    <t>CFO: Thomas Ernst</t>
  </si>
  <si>
    <t>CEO: Richard B. Cohen owner of wholesale groceries (C&amp;S) and SYM</t>
  </si>
  <si>
    <t>Expertise for troubleshooting problems take time to arrive. Which can means dead time for a company.</t>
  </si>
  <si>
    <t>Biggest stakegholders.</t>
  </si>
  <si>
    <t>Walmart 11%</t>
  </si>
  <si>
    <t>With the biggest venture being Greenbox. Being also responsable to reach potential customers for this tecnology</t>
  </si>
  <si>
    <t xml:space="preserve">Operates in parternship with Target, Walmart, Albertson's </t>
  </si>
  <si>
    <t>Softbank 8%</t>
  </si>
  <si>
    <t>NPV</t>
  </si>
  <si>
    <t>Per share:</t>
  </si>
  <si>
    <t>Ratio:</t>
  </si>
  <si>
    <t>Current Price:</t>
  </si>
  <si>
    <t>Net Cash:</t>
  </si>
  <si>
    <t>Discount Rate:</t>
  </si>
  <si>
    <t>Maturity rate:</t>
  </si>
  <si>
    <t>A/R</t>
  </si>
  <si>
    <t>U A/R</t>
  </si>
  <si>
    <t>Inventorie</t>
  </si>
  <si>
    <t>Deferend Expenses</t>
  </si>
  <si>
    <t>Prepaid expenses</t>
  </si>
  <si>
    <t>Intangible</t>
  </si>
  <si>
    <t>Long Term Assets</t>
  </si>
  <si>
    <t>PP&amp;E</t>
  </si>
  <si>
    <t>A/P</t>
  </si>
  <si>
    <t>A/E</t>
  </si>
  <si>
    <t>S/P</t>
  </si>
  <si>
    <t>D/R</t>
  </si>
  <si>
    <t>Liabilities</t>
  </si>
  <si>
    <t>CASH FLOW</t>
  </si>
  <si>
    <t>ROIC</t>
  </si>
  <si>
    <t>Terminal</t>
  </si>
  <si>
    <t>Gross %</t>
  </si>
  <si>
    <t>RD</t>
  </si>
  <si>
    <t>SGA</t>
  </si>
  <si>
    <t>Q125</t>
  </si>
  <si>
    <t>Q124</t>
  </si>
  <si>
    <t>Q224</t>
  </si>
  <si>
    <t>Q324</t>
  </si>
  <si>
    <t>Q424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</si>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</sst>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5" xfId="0" applyNumberFormat="1" applyBorder="1" applyAlignment="1">
      <alignment horizontal="center"/>
    </xf>
    <xf numFmtId="3" fontId="0" fillId="0" borderId="5" xfId="0" applyNumberFormat="1" applyBorder="1"/>
    <xf numFmtId="3" fontId="0" fillId="0" borderId="6" xfId="0" applyNumberFormat="1" applyBorder="1"/>
    <xf numFmtId="4" fontId="0" fillId="0" borderId="0" xfId="0" applyNumberFormat="1"/>
    <xf numFmtId="3" fontId="0" fillId="0" borderId="4" xfId="0" applyNumberForma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7126</xdr:colOff>
      <xdr:row>0</xdr:row>
      <xdr:rowOff>0</xdr:rowOff>
    </xdr:from>
    <xdr:to>
      <xdr:col>20</xdr:col>
      <xdr:colOff>8458</xdr:colOff>
      <xdr:row>36</xdr:row>
      <xdr:rowOff>25400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9BBEC550-5090-8BEB-207B-8C59EF263059}"/>
            </a:ext>
          </a:extLst>
        </xdr:cNvPr>
        <xdr:cNvCxnSpPr/>
      </xdr:nvCxnSpPr>
      <xdr:spPr>
        <a:xfrm>
          <a:off x="15797459" y="0"/>
          <a:ext cx="1332" cy="6426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7134</xdr:colOff>
      <xdr:row>0</xdr:row>
      <xdr:rowOff>84667</xdr:rowOff>
    </xdr:from>
    <xdr:to>
      <xdr:col>25</xdr:col>
      <xdr:colOff>8466</xdr:colOff>
      <xdr:row>36</xdr:row>
      <xdr:rowOff>110067</xdr:rowOff>
    </xdr:to>
    <xdr:cxnSp macro="">
      <xdr:nvCxnSpPr>
        <xdr:cNvPr id="2" name="Conexão reta 1">
          <a:extLst>
            <a:ext uri="{FF2B5EF4-FFF2-40B4-BE49-F238E27FC236}">
              <a16:creationId xmlns:a16="http://schemas.microsoft.com/office/drawing/2014/main" id="{11D81105-7BEA-4B89-A519-BDD1BC81A9EA}"/>
            </a:ext>
          </a:extLst>
        </xdr:cNvPr>
        <xdr:cNvCxnSpPr/>
      </xdr:nvCxnSpPr>
      <xdr:spPr>
        <a:xfrm>
          <a:off x="19632867" y="84667"/>
          <a:ext cx="1332" cy="6426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80AD-65C4-400D-9BF1-31CA92A089B0}">
  <dimension ref="A3:K32"/>
  <sheetViews>
    <sheetView workbookViewId="0">
      <selection activeCell="K6" sqref="K6"/>
    </sheetView>
  </sheetViews>
  <sheetFormatPr defaultRowHeight="14.25" x14ac:dyDescent="0.2"/>
  <sheetData>
    <row r="3" spans="1:11" ht="15" x14ac:dyDescent="0.25">
      <c r="A3" t="s">
        <v>7</v>
      </c>
      <c r="B3" s="3" t="s">
        <v>8</v>
      </c>
      <c r="J3" t="s">
        <v>0</v>
      </c>
      <c r="K3" s="1">
        <v>47</v>
      </c>
    </row>
    <row r="4" spans="1:11" x14ac:dyDescent="0.2">
      <c r="J4" t="s">
        <v>1</v>
      </c>
      <c r="K4" s="1">
        <v>556.572</v>
      </c>
    </row>
    <row r="5" spans="1:11" x14ac:dyDescent="0.2">
      <c r="J5" t="s">
        <v>2</v>
      </c>
      <c r="K5" s="1">
        <f>+K4*K3</f>
        <v>26158.884000000002</v>
      </c>
    </row>
    <row r="6" spans="1:11" x14ac:dyDescent="0.2">
      <c r="J6" t="s">
        <v>3</v>
      </c>
      <c r="K6" s="1">
        <f>258.77+286.736+692.06+121.149</f>
        <v>1358.7149999999997</v>
      </c>
    </row>
    <row r="7" spans="1:11" x14ac:dyDescent="0.2">
      <c r="B7" t="s">
        <v>53</v>
      </c>
      <c r="J7" t="s">
        <v>4</v>
      </c>
      <c r="K7" s="1">
        <f>109.918+99.992+28.322</f>
        <v>238.23200000000003</v>
      </c>
    </row>
    <row r="8" spans="1:11" x14ac:dyDescent="0.2">
      <c r="B8" t="s">
        <v>52</v>
      </c>
      <c r="J8" t="s">
        <v>5</v>
      </c>
      <c r="K8" s="1">
        <f>+K6-K7</f>
        <v>1120.4829999999997</v>
      </c>
    </row>
    <row r="9" spans="1:11" x14ac:dyDescent="0.2">
      <c r="J9" t="s">
        <v>6</v>
      </c>
      <c r="K9" s="1">
        <f>+K5-K8</f>
        <v>25038.401000000002</v>
      </c>
    </row>
    <row r="12" spans="1:11" x14ac:dyDescent="0.2">
      <c r="B12" t="s">
        <v>7</v>
      </c>
    </row>
    <row r="13" spans="1:11" x14ac:dyDescent="0.2">
      <c r="B13" t="s">
        <v>51</v>
      </c>
    </row>
    <row r="14" spans="1:11" x14ac:dyDescent="0.2">
      <c r="B14" t="s">
        <v>45</v>
      </c>
    </row>
    <row r="15" spans="1:11" x14ac:dyDescent="0.2">
      <c r="B15" t="s">
        <v>44</v>
      </c>
    </row>
    <row r="16" spans="1:11" ht="15" x14ac:dyDescent="0.2">
      <c r="B16" s="19" t="s">
        <v>43</v>
      </c>
    </row>
    <row r="17" spans="2:5" ht="15" x14ac:dyDescent="0.2">
      <c r="B17" s="19"/>
    </row>
    <row r="18" spans="2:5" x14ac:dyDescent="0.2">
      <c r="B18" t="s">
        <v>49</v>
      </c>
    </row>
    <row r="19" spans="2:5" x14ac:dyDescent="0.2">
      <c r="B19" t="s">
        <v>46</v>
      </c>
    </row>
    <row r="20" spans="2:5" x14ac:dyDescent="0.2">
      <c r="B20" t="s">
        <v>47</v>
      </c>
    </row>
    <row r="22" spans="2:5" x14ac:dyDescent="0.2">
      <c r="B22" t="s">
        <v>50</v>
      </c>
    </row>
    <row r="23" spans="2:5" x14ac:dyDescent="0.2">
      <c r="B23" t="s">
        <v>48</v>
      </c>
    </row>
    <row r="24" spans="2:5" x14ac:dyDescent="0.2">
      <c r="B24" t="s">
        <v>54</v>
      </c>
    </row>
    <row r="28" spans="2:5" x14ac:dyDescent="0.2">
      <c r="B28" t="s">
        <v>55</v>
      </c>
    </row>
    <row r="29" spans="2:5" x14ac:dyDescent="0.2">
      <c r="B29" t="s">
        <v>56</v>
      </c>
    </row>
    <row r="30" spans="2:5" x14ac:dyDescent="0.2">
      <c r="B30" t="s">
        <v>59</v>
      </c>
      <c r="E30" t="s">
        <v>57</v>
      </c>
    </row>
    <row r="32" spans="2:5" x14ac:dyDescent="0.2">
      <c r="B3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01B9-B3DA-43CD-B0C6-E69918D5AA4D}">
  <dimension ref="A2:BK49"/>
  <sheetViews>
    <sheetView tabSelected="1" zoomScale="90" zoomScaleNormal="90" workbookViewId="0">
      <pane xSplit="1" ySplit="2" topLeftCell="W3" activePane="bottomRight" state="frozen"/>
      <selection pane="topRight" activeCell="C1" sqref="C1"/>
      <selection pane="bottomLeft" activeCell="A6" sqref="A6"/>
      <selection pane="bottomRight" activeCell="AA19" sqref="AA19"/>
    </sheetView>
  </sheetViews>
  <sheetFormatPr defaultRowHeight="14.25" x14ac:dyDescent="0.2"/>
  <cols>
    <col min="1" max="1" width="30.5" customWidth="1"/>
    <col min="7" max="7" width="8.75" customWidth="1"/>
    <col min="11" max="11" width="9.875" bestFit="1" customWidth="1"/>
    <col min="22" max="22" width="14.125" bestFit="1" customWidth="1"/>
    <col min="23" max="23" width="9.125" bestFit="1" customWidth="1"/>
    <col min="25" max="25" width="15.25" customWidth="1"/>
    <col min="27" max="27" width="10.375" customWidth="1"/>
    <col min="28" max="28" width="10.25" customWidth="1"/>
    <col min="29" max="29" width="14.5" customWidth="1"/>
    <col min="30" max="30" width="10.125" customWidth="1"/>
    <col min="31" max="31" width="10" customWidth="1"/>
    <col min="32" max="32" width="9.75" customWidth="1"/>
    <col min="33" max="33" width="9.875" customWidth="1"/>
    <col min="34" max="34" width="9.625" customWidth="1"/>
    <col min="35" max="36" width="9.875" customWidth="1"/>
    <col min="37" max="37" width="9.75" customWidth="1"/>
    <col min="38" max="38" width="9.625" customWidth="1"/>
    <col min="39" max="39" width="9.75" customWidth="1"/>
    <col min="40" max="40" width="9.5" customWidth="1"/>
    <col min="41" max="41" width="9.625" customWidth="1"/>
    <col min="42" max="42" width="9.5" customWidth="1"/>
  </cols>
  <sheetData>
    <row r="2" spans="1:63" x14ac:dyDescent="0.2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87</v>
      </c>
      <c r="O2" t="s">
        <v>88</v>
      </c>
      <c r="P2" t="s">
        <v>89</v>
      </c>
      <c r="Q2" t="s">
        <v>90</v>
      </c>
      <c r="R2" t="s">
        <v>86</v>
      </c>
      <c r="S2" t="s">
        <v>91</v>
      </c>
      <c r="Y2" t="s">
        <v>7</v>
      </c>
      <c r="Z2">
        <v>2022</v>
      </c>
      <c r="AA2">
        <f>+Z2+1</f>
        <v>2023</v>
      </c>
      <c r="AB2">
        <f t="shared" ref="AB2:AP2" si="0">+AA2+1</f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  <c r="AG2">
        <f t="shared" si="0"/>
        <v>2029</v>
      </c>
      <c r="AH2">
        <f t="shared" si="0"/>
        <v>2030</v>
      </c>
      <c r="AI2">
        <f t="shared" si="0"/>
        <v>2031</v>
      </c>
      <c r="AJ2">
        <f t="shared" si="0"/>
        <v>2032</v>
      </c>
      <c r="AK2">
        <f t="shared" si="0"/>
        <v>2033</v>
      </c>
      <c r="AL2">
        <f t="shared" si="0"/>
        <v>2034</v>
      </c>
      <c r="AM2">
        <f t="shared" si="0"/>
        <v>2035</v>
      </c>
      <c r="AN2">
        <f t="shared" si="0"/>
        <v>2036</v>
      </c>
      <c r="AO2">
        <f t="shared" si="0"/>
        <v>2037</v>
      </c>
      <c r="AP2">
        <f t="shared" si="0"/>
        <v>2038</v>
      </c>
    </row>
    <row r="3" spans="1:63" x14ac:dyDescent="0.2">
      <c r="A3" t="s">
        <v>9</v>
      </c>
      <c r="B3" s="1"/>
      <c r="C3" s="1"/>
      <c r="D3" s="1"/>
      <c r="E3" s="1"/>
      <c r="F3" s="1">
        <v>71222</v>
      </c>
      <c r="G3" s="1">
        <v>89572</v>
      </c>
      <c r="H3" s="1">
        <v>169503</v>
      </c>
      <c r="I3" s="1">
        <v>237696</v>
      </c>
      <c r="J3" s="1">
        <v>197901</v>
      </c>
      <c r="K3" s="1">
        <v>257603</v>
      </c>
      <c r="L3" s="1">
        <v>302350</v>
      </c>
      <c r="M3" s="1">
        <v>380205</v>
      </c>
      <c r="N3" s="1"/>
      <c r="O3" s="1"/>
      <c r="P3" s="1"/>
      <c r="Q3" s="1"/>
      <c r="R3" s="1"/>
      <c r="S3" t="s">
        <v>7</v>
      </c>
      <c r="T3" s="1">
        <v>559.10799999999995</v>
      </c>
      <c r="U3" s="1"/>
      <c r="V3" s="1"/>
      <c r="W3" s="1"/>
      <c r="X3" s="1"/>
      <c r="Y3" s="1"/>
      <c r="Z3" s="1">
        <f t="shared" ref="Z3:Z6" si="1">SUM(F3:I3)</f>
        <v>567993</v>
      </c>
      <c r="AA3" s="1">
        <f t="shared" ref="AA3:AA10" si="2">SUM(J3:M3)</f>
        <v>1138059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x14ac:dyDescent="0.2">
      <c r="A4" t="s">
        <v>10</v>
      </c>
      <c r="B4" s="1"/>
      <c r="C4" s="1"/>
      <c r="D4" s="1"/>
      <c r="E4" s="1"/>
      <c r="F4" s="1">
        <v>975</v>
      </c>
      <c r="G4" s="1">
        <v>965</v>
      </c>
      <c r="H4" s="1">
        <v>862</v>
      </c>
      <c r="I4" s="1">
        <v>933</v>
      </c>
      <c r="J4" s="1">
        <v>1237</v>
      </c>
      <c r="K4" s="1">
        <v>1461</v>
      </c>
      <c r="L4" s="1">
        <v>1768</v>
      </c>
      <c r="M4" s="1">
        <v>2135</v>
      </c>
      <c r="N4" s="1"/>
      <c r="O4" s="1"/>
      <c r="P4" s="1"/>
      <c r="Q4" s="1"/>
      <c r="R4" s="1"/>
      <c r="S4" t="s">
        <v>7</v>
      </c>
      <c r="T4" s="1">
        <v>8.1210000000000004</v>
      </c>
      <c r="U4" s="1"/>
      <c r="V4" s="1"/>
      <c r="W4" s="1"/>
      <c r="X4" s="1"/>
      <c r="Y4" s="1"/>
      <c r="Z4" s="1">
        <f t="shared" si="1"/>
        <v>3735</v>
      </c>
      <c r="AA4" s="1">
        <f t="shared" si="2"/>
        <v>6601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x14ac:dyDescent="0.2">
      <c r="A5" t="s">
        <v>11</v>
      </c>
      <c r="B5" s="1"/>
      <c r="C5" s="1"/>
      <c r="D5" s="1"/>
      <c r="E5" s="1"/>
      <c r="F5" s="1">
        <v>4867</v>
      </c>
      <c r="G5" s="1">
        <v>5747</v>
      </c>
      <c r="H5" s="1">
        <v>5187</v>
      </c>
      <c r="I5" s="1">
        <v>5783</v>
      </c>
      <c r="J5" s="1">
        <v>7174</v>
      </c>
      <c r="K5" s="1">
        <v>7790</v>
      </c>
      <c r="L5" s="1">
        <v>7719</v>
      </c>
      <c r="M5" s="1">
        <v>9548</v>
      </c>
      <c r="N5" s="1"/>
      <c r="O5" s="1"/>
      <c r="P5" s="1"/>
      <c r="Q5" s="1"/>
      <c r="R5" s="1"/>
      <c r="S5" t="s">
        <v>7</v>
      </c>
      <c r="T5" s="1">
        <v>24.891999999999999</v>
      </c>
      <c r="U5" s="1"/>
      <c r="V5" s="1"/>
      <c r="W5" s="1"/>
      <c r="X5" s="1"/>
      <c r="Y5" s="1"/>
      <c r="Z5" s="1">
        <f t="shared" si="1"/>
        <v>21584</v>
      </c>
      <c r="AA5" s="1">
        <f t="shared" si="2"/>
        <v>32231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15" x14ac:dyDescent="0.25">
      <c r="A6" s="2" t="s">
        <v>12</v>
      </c>
      <c r="B6" s="4"/>
      <c r="C6" s="4"/>
      <c r="D6" s="4"/>
      <c r="E6" s="4"/>
      <c r="F6" s="4">
        <f t="shared" ref="F6:M6" si="3">SUM(F3:F5)</f>
        <v>77064</v>
      </c>
      <c r="G6" s="4">
        <f t="shared" si="3"/>
        <v>96284</v>
      </c>
      <c r="H6" s="4">
        <f t="shared" si="3"/>
        <v>175552</v>
      </c>
      <c r="I6" s="4">
        <f t="shared" si="3"/>
        <v>244412</v>
      </c>
      <c r="J6" s="4">
        <f t="shared" si="3"/>
        <v>206312</v>
      </c>
      <c r="K6" s="4">
        <f t="shared" si="3"/>
        <v>266854</v>
      </c>
      <c r="L6" s="4">
        <f t="shared" si="3"/>
        <v>311837</v>
      </c>
      <c r="M6" s="4">
        <f t="shared" si="3"/>
        <v>391888</v>
      </c>
      <c r="N6" s="4"/>
      <c r="O6" s="4"/>
      <c r="P6" s="4"/>
      <c r="Q6" s="4"/>
      <c r="R6" s="4"/>
      <c r="S6">
        <v>549</v>
      </c>
      <c r="T6" s="4">
        <f>+T3+T4+T5</f>
        <v>592.12099999999998</v>
      </c>
      <c r="U6" s="4"/>
      <c r="V6" s="5" t="s">
        <v>82</v>
      </c>
      <c r="W6" s="5"/>
      <c r="X6" s="4"/>
      <c r="Y6" s="4"/>
      <c r="Z6" s="4">
        <f t="shared" si="1"/>
        <v>593312</v>
      </c>
      <c r="AA6" s="4">
        <f t="shared" si="2"/>
        <v>1176891</v>
      </c>
      <c r="AB6" s="4">
        <v>1788.2</v>
      </c>
      <c r="AC6" s="4">
        <f t="shared" ref="AC6:AD6" si="4">+AB6*1.02</f>
        <v>1823.9640000000002</v>
      </c>
      <c r="AD6" s="4">
        <f t="shared" si="4"/>
        <v>1860.4432800000002</v>
      </c>
      <c r="AE6" s="4">
        <f>+AD6*1.01</f>
        <v>1879.0477128000002</v>
      </c>
      <c r="AF6" s="4">
        <f t="shared" ref="AF6:AP6" si="5">+AE6*1.01</f>
        <v>1897.8381899280002</v>
      </c>
      <c r="AG6" s="4">
        <f t="shared" si="5"/>
        <v>1916.8165718272803</v>
      </c>
      <c r="AH6" s="4">
        <f t="shared" si="5"/>
        <v>1935.9847375455531</v>
      </c>
      <c r="AI6" s="4">
        <f t="shared" si="5"/>
        <v>1955.3445849210086</v>
      </c>
      <c r="AJ6" s="4">
        <f t="shared" si="5"/>
        <v>1974.8980307702186</v>
      </c>
      <c r="AK6" s="4">
        <f t="shared" si="5"/>
        <v>1994.6470110779208</v>
      </c>
      <c r="AL6" s="4">
        <f t="shared" si="5"/>
        <v>2014.5934811887</v>
      </c>
      <c r="AM6" s="4">
        <f t="shared" si="5"/>
        <v>2034.739416000587</v>
      </c>
      <c r="AN6" s="4">
        <f t="shared" si="5"/>
        <v>2055.0868101605929</v>
      </c>
      <c r="AO6" s="4">
        <f t="shared" si="5"/>
        <v>2075.6376782621987</v>
      </c>
      <c r="AP6" s="4">
        <f t="shared" si="5"/>
        <v>2096.3940550448206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5" x14ac:dyDescent="0.25">
      <c r="A7" t="s">
        <v>9</v>
      </c>
      <c r="B7" s="1"/>
      <c r="C7" s="1"/>
      <c r="D7" s="1"/>
      <c r="E7" s="1"/>
      <c r="F7" s="1">
        <v>56485</v>
      </c>
      <c r="G7" s="1">
        <v>71975</v>
      </c>
      <c r="H7" s="1">
        <v>136015</v>
      </c>
      <c r="I7" s="1">
        <v>199704</v>
      </c>
      <c r="J7" s="1">
        <v>160931</v>
      </c>
      <c r="K7" s="1">
        <v>213060</v>
      </c>
      <c r="L7" s="1">
        <v>244660</v>
      </c>
      <c r="M7" s="1">
        <v>321425</v>
      </c>
      <c r="N7" s="1"/>
      <c r="O7" s="1"/>
      <c r="P7" s="1"/>
      <c r="Q7" s="1"/>
      <c r="R7" s="1"/>
      <c r="S7" t="s">
        <v>7</v>
      </c>
      <c r="T7" s="1">
        <v>457.911</v>
      </c>
      <c r="U7" s="1"/>
      <c r="V7" s="1" t="s">
        <v>81</v>
      </c>
      <c r="W7" s="1"/>
      <c r="X7" s="1"/>
      <c r="Y7" s="4"/>
      <c r="Z7" s="1">
        <f t="shared" ref="Z7:Z13" si="6">SUM(F7:I7)</f>
        <v>464179</v>
      </c>
      <c r="AA7" s="1">
        <f t="shared" si="2"/>
        <v>940076</v>
      </c>
      <c r="AB7" s="4"/>
      <c r="AC7" s="1" t="s">
        <v>7</v>
      </c>
      <c r="AD7" s="4"/>
      <c r="AE7" s="4"/>
      <c r="AF7" s="4"/>
      <c r="AG7" s="4"/>
      <c r="AH7" s="4"/>
      <c r="AI7" s="4"/>
      <c r="AJ7" s="4"/>
      <c r="AK7" s="4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15" x14ac:dyDescent="0.25">
      <c r="A8" t="s">
        <v>10</v>
      </c>
      <c r="B8" s="1"/>
      <c r="C8" s="1"/>
      <c r="D8" s="1"/>
      <c r="E8" s="1"/>
      <c r="F8" s="1">
        <v>810</v>
      </c>
      <c r="G8" s="1">
        <v>1145</v>
      </c>
      <c r="H8" s="1">
        <v>1269</v>
      </c>
      <c r="I8" s="1">
        <v>1166</v>
      </c>
      <c r="J8" s="1">
        <v>1671</v>
      </c>
      <c r="K8" s="1">
        <v>2106</v>
      </c>
      <c r="L8" s="1">
        <v>3603</v>
      </c>
      <c r="M8" s="1">
        <v>1842</v>
      </c>
      <c r="N8" s="1"/>
      <c r="O8" s="1"/>
      <c r="P8" s="1"/>
      <c r="Q8" s="1"/>
      <c r="R8" s="1"/>
      <c r="S8" t="s">
        <v>7</v>
      </c>
      <c r="T8" s="1">
        <v>1.756</v>
      </c>
      <c r="U8" s="1"/>
      <c r="V8" s="1" t="s">
        <v>66</v>
      </c>
      <c r="W8" s="6">
        <v>0.02</v>
      </c>
      <c r="X8" s="1"/>
      <c r="Y8" s="4"/>
      <c r="Z8" s="1">
        <f t="shared" si="6"/>
        <v>4390</v>
      </c>
      <c r="AA8" s="1">
        <f t="shared" si="2"/>
        <v>9222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5" x14ac:dyDescent="0.25">
      <c r="A9" t="s">
        <v>11</v>
      </c>
      <c r="B9" s="1"/>
      <c r="C9" s="1"/>
      <c r="D9" s="1"/>
      <c r="E9" s="1"/>
      <c r="F9" s="1">
        <v>5301</v>
      </c>
      <c r="G9" s="1">
        <v>6258</v>
      </c>
      <c r="H9" s="1">
        <v>6724</v>
      </c>
      <c r="I9" s="1">
        <v>6813</v>
      </c>
      <c r="J9" s="1">
        <v>8516</v>
      </c>
      <c r="K9" s="1">
        <v>8841</v>
      </c>
      <c r="L9" s="1">
        <v>10665</v>
      </c>
      <c r="M9" s="1">
        <v>9832</v>
      </c>
      <c r="N9" s="1"/>
      <c r="O9" s="1"/>
      <c r="P9" s="1"/>
      <c r="Q9" s="1"/>
      <c r="R9" s="1"/>
      <c r="S9" t="s">
        <v>7</v>
      </c>
      <c r="T9" s="1">
        <v>24.832000000000001</v>
      </c>
      <c r="U9" s="1"/>
      <c r="V9" s="4" t="s">
        <v>65</v>
      </c>
      <c r="W9" s="5">
        <v>0.09</v>
      </c>
      <c r="X9" s="1"/>
      <c r="Y9" s="4"/>
      <c r="Z9" s="1">
        <f t="shared" si="6"/>
        <v>25096</v>
      </c>
      <c r="AA9" s="1">
        <f t="shared" si="2"/>
        <v>37854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15" x14ac:dyDescent="0.25">
      <c r="A10" s="2" t="s">
        <v>25</v>
      </c>
      <c r="B10" s="4"/>
      <c r="C10" s="4"/>
      <c r="D10" s="4"/>
      <c r="E10" s="4"/>
      <c r="F10" s="4">
        <f t="shared" ref="F10:M10" si="7">SUM(F7:F9)</f>
        <v>62596</v>
      </c>
      <c r="G10" s="4">
        <f t="shared" si="7"/>
        <v>79378</v>
      </c>
      <c r="H10" s="4">
        <f t="shared" si="7"/>
        <v>144008</v>
      </c>
      <c r="I10" s="4">
        <f t="shared" si="7"/>
        <v>207683</v>
      </c>
      <c r="J10" s="4">
        <f t="shared" si="7"/>
        <v>171118</v>
      </c>
      <c r="K10" s="4">
        <f t="shared" si="7"/>
        <v>224007</v>
      </c>
      <c r="L10" s="4">
        <f t="shared" si="7"/>
        <v>258928</v>
      </c>
      <c r="M10" s="4">
        <f t="shared" si="7"/>
        <v>333099</v>
      </c>
      <c r="N10" s="4"/>
      <c r="O10" s="4"/>
      <c r="P10" s="4"/>
      <c r="Q10" s="4"/>
      <c r="R10" s="4"/>
      <c r="S10">
        <v>441.8</v>
      </c>
      <c r="T10" s="4">
        <f>+T9+T8+T7</f>
        <v>484.49900000000002</v>
      </c>
      <c r="U10" s="4"/>
      <c r="V10" s="1" t="s">
        <v>60</v>
      </c>
      <c r="W10" s="1">
        <f>NPV(W9,AB6,AP6)</f>
        <v>3405.0433928497769</v>
      </c>
      <c r="X10" s="4"/>
      <c r="Y10" s="4"/>
      <c r="Z10" s="4">
        <f t="shared" si="6"/>
        <v>493665</v>
      </c>
      <c r="AA10" s="4">
        <f t="shared" si="2"/>
        <v>987152</v>
      </c>
      <c r="AB10" s="4">
        <v>1542.5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15" x14ac:dyDescent="0.25">
      <c r="A11" s="2" t="s">
        <v>26</v>
      </c>
      <c r="B11" s="4"/>
      <c r="C11" s="4"/>
      <c r="D11" s="4"/>
      <c r="E11" s="4"/>
      <c r="F11" s="4">
        <f t="shared" ref="F11:Z11" si="8">+F6-F10</f>
        <v>14468</v>
      </c>
      <c r="G11" s="4">
        <f t="shared" si="8"/>
        <v>16906</v>
      </c>
      <c r="H11" s="4">
        <f t="shared" si="8"/>
        <v>31544</v>
      </c>
      <c r="I11" s="4">
        <f t="shared" si="8"/>
        <v>36729</v>
      </c>
      <c r="J11" s="4">
        <f t="shared" si="8"/>
        <v>35194</v>
      </c>
      <c r="K11" s="4">
        <f t="shared" si="8"/>
        <v>42847</v>
      </c>
      <c r="L11" s="4">
        <f t="shared" si="8"/>
        <v>52909</v>
      </c>
      <c r="M11" s="4">
        <f t="shared" si="8"/>
        <v>58789</v>
      </c>
      <c r="N11" s="4"/>
      <c r="O11" s="4"/>
      <c r="P11" s="4"/>
      <c r="Q11" s="4"/>
      <c r="R11" s="4"/>
      <c r="S11">
        <f>+S6-S10</f>
        <v>107.19999999999999</v>
      </c>
      <c r="T11" s="4">
        <f>+T6-T10</f>
        <v>107.62199999999996</v>
      </c>
      <c r="U11" s="4"/>
      <c r="V11" s="1" t="s">
        <v>64</v>
      </c>
      <c r="W11" s="1">
        <f>+W10+main!K8</f>
        <v>4525.526392849777</v>
      </c>
      <c r="X11" s="4"/>
      <c r="Y11" s="1"/>
      <c r="Z11" s="4">
        <f t="shared" si="8"/>
        <v>99647</v>
      </c>
      <c r="AA11" s="4">
        <f t="shared" ref="AA11" si="9">+AA6-AA10</f>
        <v>189739</v>
      </c>
      <c r="AB11" s="1">
        <f>+AB6-AB10</f>
        <v>245.70000000000005</v>
      </c>
      <c r="AC11" s="1"/>
      <c r="AD11" s="6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5" x14ac:dyDescent="0.25">
      <c r="A12" t="s">
        <v>27</v>
      </c>
      <c r="B12" s="1"/>
      <c r="C12" s="1"/>
      <c r="D12" s="1"/>
      <c r="E12" s="1"/>
      <c r="F12" s="1">
        <v>22184</v>
      </c>
      <c r="G12" s="1">
        <v>23355</v>
      </c>
      <c r="H12" s="1">
        <v>35140</v>
      </c>
      <c r="I12" s="1">
        <v>43462</v>
      </c>
      <c r="J12" s="1">
        <v>50740</v>
      </c>
      <c r="K12" s="1">
        <v>49666</v>
      </c>
      <c r="L12" s="1">
        <v>48845</v>
      </c>
      <c r="M12" s="1">
        <v>45791</v>
      </c>
      <c r="N12" s="1"/>
      <c r="O12" s="1"/>
      <c r="P12" s="1"/>
      <c r="Q12" s="1"/>
      <c r="R12" s="1"/>
      <c r="T12" s="1">
        <v>52.146999999999998</v>
      </c>
      <c r="U12" s="1"/>
      <c r="V12" s="4" t="s">
        <v>61</v>
      </c>
      <c r="W12" s="4">
        <f>+W11/main!K4</f>
        <v>8.1310708998113039</v>
      </c>
      <c r="X12" s="1"/>
      <c r="Y12" s="1"/>
      <c r="Z12" s="1">
        <f t="shared" si="6"/>
        <v>124141</v>
      </c>
      <c r="AA12" s="1">
        <f t="shared" ref="AA12:AA18" si="10">SUM(J12:M12)</f>
        <v>195042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x14ac:dyDescent="0.2">
      <c r="A13" t="s">
        <v>28</v>
      </c>
      <c r="B13" s="1"/>
      <c r="C13" s="1"/>
      <c r="D13" s="1"/>
      <c r="E13" s="1"/>
      <c r="F13" s="1">
        <v>15359</v>
      </c>
      <c r="G13" s="1">
        <v>23512</v>
      </c>
      <c r="H13" s="1">
        <v>29435</v>
      </c>
      <c r="I13" s="1">
        <v>47575</v>
      </c>
      <c r="J13" s="1">
        <v>54023</v>
      </c>
      <c r="K13" s="1">
        <v>50898</v>
      </c>
      <c r="L13" s="1">
        <v>46073</v>
      </c>
      <c r="M13" s="1">
        <v>66933</v>
      </c>
      <c r="N13" s="1"/>
      <c r="O13" s="1"/>
      <c r="P13" s="1"/>
      <c r="Q13" s="1"/>
      <c r="R13" s="1"/>
      <c r="T13" s="1">
        <v>75.67</v>
      </c>
      <c r="U13" s="1"/>
      <c r="V13" s="1" t="s">
        <v>63</v>
      </c>
      <c r="W13" s="1">
        <v>58</v>
      </c>
      <c r="X13" s="1"/>
      <c r="Y13" s="1"/>
      <c r="Z13" s="1">
        <f t="shared" si="6"/>
        <v>115881</v>
      </c>
      <c r="AA13" s="1">
        <f t="shared" si="10"/>
        <v>217927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x14ac:dyDescent="0.2">
      <c r="A14" t="s">
        <v>29</v>
      </c>
      <c r="B14" s="1"/>
      <c r="C14" s="1"/>
      <c r="D14" s="1"/>
      <c r="E14" s="1"/>
      <c r="F14" s="1">
        <f t="shared" ref="F14:Z14" si="11">+F12+F13</f>
        <v>37543</v>
      </c>
      <c r="G14" s="1">
        <f t="shared" si="11"/>
        <v>46867</v>
      </c>
      <c r="H14" s="1">
        <f t="shared" si="11"/>
        <v>64575</v>
      </c>
      <c r="I14" s="1">
        <f t="shared" si="11"/>
        <v>91037</v>
      </c>
      <c r="J14" s="1">
        <f t="shared" si="11"/>
        <v>104763</v>
      </c>
      <c r="K14" s="1">
        <f t="shared" si="11"/>
        <v>100564</v>
      </c>
      <c r="L14" s="1">
        <f t="shared" si="11"/>
        <v>94918</v>
      </c>
      <c r="M14" s="1">
        <f t="shared" si="11"/>
        <v>112724</v>
      </c>
      <c r="N14" s="1"/>
      <c r="O14" s="1"/>
      <c r="P14" s="1"/>
      <c r="Q14" s="1"/>
      <c r="R14" s="1"/>
      <c r="T14" s="1">
        <f>+T12+T13</f>
        <v>127.81700000000001</v>
      </c>
      <c r="U14" s="1"/>
      <c r="V14" s="6" t="s">
        <v>62</v>
      </c>
      <c r="W14" s="6">
        <f>+W13/W12-1</f>
        <v>6.1331317503757097</v>
      </c>
      <c r="X14" s="1"/>
      <c r="Y14" s="1"/>
      <c r="Z14" s="1">
        <f t="shared" si="11"/>
        <v>240022</v>
      </c>
      <c r="AA14" s="1">
        <f t="shared" si="10"/>
        <v>412969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2">
      <c r="A15" t="s">
        <v>36</v>
      </c>
      <c r="B15" s="1"/>
      <c r="C15" s="1"/>
      <c r="D15" s="1"/>
      <c r="E15" s="1"/>
      <c r="F15" s="1">
        <f t="shared" ref="F15:Z15" si="12">+F11-F14</f>
        <v>-23075</v>
      </c>
      <c r="G15" s="1">
        <f t="shared" si="12"/>
        <v>-29961</v>
      </c>
      <c r="H15" s="1">
        <f t="shared" si="12"/>
        <v>-33031</v>
      </c>
      <c r="I15" s="1">
        <f t="shared" si="12"/>
        <v>-54308</v>
      </c>
      <c r="J15" s="1">
        <f t="shared" si="12"/>
        <v>-69569</v>
      </c>
      <c r="K15" s="1">
        <f t="shared" si="12"/>
        <v>-57717</v>
      </c>
      <c r="L15" s="1">
        <f t="shared" si="12"/>
        <v>-42009</v>
      </c>
      <c r="M15" s="1">
        <f t="shared" si="12"/>
        <v>-53935</v>
      </c>
      <c r="N15" s="1"/>
      <c r="O15" s="1"/>
      <c r="P15" s="1"/>
      <c r="Q15" s="1"/>
      <c r="R15" s="1"/>
      <c r="S15">
        <v>-32.1</v>
      </c>
      <c r="T15" s="1">
        <f>+T11-T14</f>
        <v>-20.19500000000005</v>
      </c>
      <c r="U15" s="1"/>
      <c r="V15" s="1"/>
      <c r="W15" s="1"/>
      <c r="X15" s="1"/>
      <c r="Y15" s="1"/>
      <c r="Z15" s="1">
        <f t="shared" si="12"/>
        <v>-140375</v>
      </c>
      <c r="AA15" s="1">
        <f t="shared" si="10"/>
        <v>-223230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x14ac:dyDescent="0.2">
      <c r="A16" t="s">
        <v>30</v>
      </c>
      <c r="B16" s="1"/>
      <c r="C16" s="1"/>
      <c r="D16" s="1"/>
      <c r="E16" s="1"/>
      <c r="F16" s="1"/>
      <c r="G16" s="1" t="s">
        <v>7</v>
      </c>
      <c r="H16" s="1"/>
      <c r="I16" s="1">
        <v>1083</v>
      </c>
      <c r="J16" s="1"/>
      <c r="K16" s="1">
        <v>4192</v>
      </c>
      <c r="L16" s="1">
        <v>2974</v>
      </c>
      <c r="M16" s="1">
        <v>4192</v>
      </c>
      <c r="N16" s="1"/>
      <c r="O16" s="1"/>
      <c r="P16" s="1"/>
      <c r="Q16" s="1"/>
      <c r="R16" s="1"/>
      <c r="S16">
        <v>-1.4</v>
      </c>
      <c r="T16" s="1">
        <v>-28.105</v>
      </c>
      <c r="U16" s="1"/>
      <c r="V16" s="1"/>
      <c r="W16" s="1"/>
      <c r="X16" s="1"/>
      <c r="Y16" s="1"/>
      <c r="Z16" s="1">
        <f t="shared" ref="Z16:Z18" si="13">SUM(F16:I16)</f>
        <v>1083</v>
      </c>
      <c r="AA16" s="1">
        <f t="shared" si="10"/>
        <v>11358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x14ac:dyDescent="0.2">
      <c r="A17" t="s">
        <v>31</v>
      </c>
      <c r="B17" s="1"/>
      <c r="C17" s="1"/>
      <c r="D17" s="1"/>
      <c r="E17" s="1"/>
      <c r="F17" s="1">
        <v>23053</v>
      </c>
      <c r="G17" s="1">
        <v>29903</v>
      </c>
      <c r="H17" s="1">
        <v>32875</v>
      </c>
      <c r="I17" s="1">
        <v>53258</v>
      </c>
      <c r="J17" s="1">
        <v>67735</v>
      </c>
      <c r="K17" s="1">
        <v>55433</v>
      </c>
      <c r="L17" s="1">
        <v>39072</v>
      </c>
      <c r="M17" s="1">
        <v>50274</v>
      </c>
      <c r="N17" s="1"/>
      <c r="O17" s="1"/>
      <c r="P17" s="1"/>
      <c r="Q17" s="1"/>
      <c r="R17" s="1"/>
      <c r="S17">
        <f>+S16+S15</f>
        <v>-33.5</v>
      </c>
      <c r="T17" s="1">
        <f>+T15+T16</f>
        <v>-48.300000000000054</v>
      </c>
      <c r="U17" s="1"/>
      <c r="V17" s="1"/>
      <c r="W17" s="1"/>
      <c r="X17" s="1"/>
      <c r="Y17" s="1"/>
      <c r="Z17" s="1">
        <f t="shared" si="13"/>
        <v>139089</v>
      </c>
      <c r="AA17" s="1">
        <f t="shared" si="10"/>
        <v>212514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x14ac:dyDescent="0.2">
      <c r="A18" t="s">
        <v>32</v>
      </c>
      <c r="B18" s="1"/>
      <c r="C18" s="1"/>
      <c r="D18" s="1"/>
      <c r="E18" s="1"/>
      <c r="F18" s="1">
        <v>-251</v>
      </c>
      <c r="G18" s="1" t="s">
        <v>7</v>
      </c>
      <c r="H18" s="1"/>
      <c r="I18" s="1"/>
      <c r="J18" s="1">
        <v>-251</v>
      </c>
      <c r="K18" s="1">
        <v>17</v>
      </c>
      <c r="L18" s="1">
        <v>-5</v>
      </c>
      <c r="M18" s="1">
        <v>4859</v>
      </c>
      <c r="N18" s="1"/>
      <c r="O18" s="1"/>
      <c r="P18" s="1"/>
      <c r="Q18" s="1"/>
      <c r="R18" s="1"/>
      <c r="S18">
        <v>-1.4</v>
      </c>
      <c r="T18" s="1">
        <v>-4.3999999999999997E-2</v>
      </c>
      <c r="U18" s="1"/>
      <c r="V18" s="1"/>
      <c r="W18" s="1"/>
      <c r="X18" s="1"/>
      <c r="Y18" s="1"/>
      <c r="Z18" s="1">
        <f t="shared" si="13"/>
        <v>-251</v>
      </c>
      <c r="AA18" s="1">
        <f t="shared" si="10"/>
        <v>4620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5" x14ac:dyDescent="0.25">
      <c r="A19" s="2" t="s">
        <v>35</v>
      </c>
      <c r="B19" s="4"/>
      <c r="C19" s="4"/>
      <c r="D19" s="4"/>
      <c r="E19" s="4"/>
      <c r="F19" s="4">
        <f t="shared" ref="F19:Z19" si="14">+F17-F18</f>
        <v>23304</v>
      </c>
      <c r="G19" s="4">
        <v>29903</v>
      </c>
      <c r="H19" s="4">
        <f t="shared" si="14"/>
        <v>32875</v>
      </c>
      <c r="I19" s="4">
        <f t="shared" si="14"/>
        <v>53258</v>
      </c>
      <c r="J19" s="4">
        <f t="shared" si="14"/>
        <v>67986</v>
      </c>
      <c r="K19" s="4">
        <f t="shared" si="14"/>
        <v>55416</v>
      </c>
      <c r="L19" s="4">
        <f t="shared" si="14"/>
        <v>39077</v>
      </c>
      <c r="M19" s="4">
        <f t="shared" si="14"/>
        <v>45415</v>
      </c>
      <c r="N19" s="4"/>
      <c r="O19" s="4"/>
      <c r="P19" s="4"/>
      <c r="Q19" s="4"/>
      <c r="R19" s="4"/>
      <c r="T19" s="4">
        <f>+T17+T18</f>
        <v>-48.344000000000051</v>
      </c>
      <c r="U19" s="4"/>
      <c r="V19" s="4"/>
      <c r="W19" s="4"/>
      <c r="X19" s="4"/>
      <c r="Y19" s="4"/>
      <c r="Z19" s="4">
        <f t="shared" si="14"/>
        <v>139340</v>
      </c>
      <c r="AA19" s="4">
        <f t="shared" ref="AA19" si="15">+AA17-AA18</f>
        <v>207894</v>
      </c>
      <c r="AB19" s="4">
        <v>-84.7</v>
      </c>
      <c r="AC19" s="4" t="s">
        <v>7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1"/>
      <c r="BI19" s="1"/>
      <c r="BJ19" s="1"/>
      <c r="BK19" s="1"/>
    </row>
    <row r="20" spans="1:63" x14ac:dyDescent="0.2">
      <c r="A20" t="s">
        <v>33</v>
      </c>
      <c r="B20" s="1"/>
      <c r="C20" s="1"/>
      <c r="D20" s="1"/>
      <c r="E20" s="17"/>
      <c r="F20" s="9"/>
      <c r="G20" s="10" t="s">
        <v>7</v>
      </c>
      <c r="H20" s="11"/>
      <c r="I20" s="10">
        <f>+I19/I21</f>
        <v>0.97184510462726958</v>
      </c>
      <c r="J20" s="10">
        <f>+J19/J21</f>
        <v>1.1674321160702201</v>
      </c>
      <c r="K20" s="10">
        <f>+K19/K21</f>
        <v>0.91591972308072256</v>
      </c>
      <c r="L20" s="10">
        <f>+L19/L21</f>
        <v>0.63248906825103635</v>
      </c>
      <c r="M20" s="10">
        <f>+M19/M21</f>
        <v>0.59739726842055696</v>
      </c>
      <c r="N20" s="10"/>
      <c r="O20" s="10"/>
      <c r="P20" s="10"/>
      <c r="Q20" s="10"/>
      <c r="R20" s="10"/>
      <c r="T20" s="10">
        <f>+T19/T21</f>
        <v>-0.44270656862116697</v>
      </c>
      <c r="U20" s="10"/>
      <c r="V20" s="10"/>
      <c r="W20" s="10"/>
      <c r="X20" s="10"/>
      <c r="Y20" s="12" t="s">
        <v>42</v>
      </c>
      <c r="Z20" s="10">
        <f>+Z19/Z21</f>
        <v>2.1302169973964618</v>
      </c>
      <c r="AA20" s="10">
        <f>+AA19/AA21</f>
        <v>3.2414689236246796</v>
      </c>
      <c r="AB20" s="1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x14ac:dyDescent="0.2">
      <c r="A21" t="s">
        <v>34</v>
      </c>
      <c r="B21" s="1"/>
      <c r="C21" s="1"/>
      <c r="D21" s="1"/>
      <c r="E21" s="1"/>
      <c r="F21" s="18" t="s">
        <v>7</v>
      </c>
      <c r="G21" s="15">
        <v>76021.438999999998</v>
      </c>
      <c r="H21" s="14" t="s">
        <v>7</v>
      </c>
      <c r="I21" s="15">
        <v>54800.913999999997</v>
      </c>
      <c r="J21" s="15">
        <v>58235.506000000001</v>
      </c>
      <c r="K21" s="15">
        <v>60503.118999999999</v>
      </c>
      <c r="L21" s="15">
        <v>61782.885999999999</v>
      </c>
      <c r="M21" s="15">
        <v>76021.438999999998</v>
      </c>
      <c r="N21" s="15"/>
      <c r="O21" s="15"/>
      <c r="P21" s="15"/>
      <c r="Q21" s="15"/>
      <c r="R21" s="15"/>
      <c r="T21" s="15">
        <v>109.20099999999999</v>
      </c>
      <c r="U21" s="15"/>
      <c r="V21" s="15"/>
      <c r="W21" s="15"/>
      <c r="X21" s="15"/>
      <c r="Y21" s="15"/>
      <c r="Z21" s="15">
        <f>AVERAGE(F21:I21)</f>
        <v>65411.176500000001</v>
      </c>
      <c r="AA21" s="15">
        <f>AVERAGE(J21:M21)</f>
        <v>64135.737500000003</v>
      </c>
      <c r="AB21" s="16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5" t="s">
        <v>7</v>
      </c>
      <c r="AB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s="2" customFormat="1" ht="15" x14ac:dyDescent="0.25">
      <c r="A24" s="2" t="s">
        <v>37</v>
      </c>
      <c r="B24" s="4"/>
      <c r="C24" s="4"/>
      <c r="D24" s="4"/>
      <c r="E24" s="4"/>
      <c r="F24" s="4"/>
      <c r="G24" s="4"/>
      <c r="H24" s="4"/>
      <c r="I24" s="4"/>
      <c r="J24" s="5">
        <f t="shared" ref="J24:K24" si="16">+J6/F6-1</f>
        <v>1.6771514585279768</v>
      </c>
      <c r="K24" s="5">
        <f t="shared" si="16"/>
        <v>1.7715300569149601</v>
      </c>
      <c r="L24" s="5">
        <f>+L6/H6-1</f>
        <v>0.77632268501640533</v>
      </c>
      <c r="M24" s="5">
        <f>+M6/I6-1</f>
        <v>0.60339099553213416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4" t="s">
        <v>7</v>
      </c>
      <c r="Z24" s="4"/>
      <c r="AA24" s="5">
        <f>+AA6/Z6-1</f>
        <v>0.98359547759020538</v>
      </c>
      <c r="AB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 x14ac:dyDescent="0.2">
      <c r="A25" t="s">
        <v>38</v>
      </c>
      <c r="B25" s="1"/>
      <c r="C25" s="1"/>
      <c r="D25" s="1"/>
      <c r="E25" s="1"/>
      <c r="F25" s="1"/>
      <c r="G25" s="1"/>
      <c r="H25" s="1"/>
      <c r="I25" s="1"/>
      <c r="J25" s="6">
        <f>+J12/F12-1</f>
        <v>1.2872340425531914</v>
      </c>
      <c r="K25" s="6">
        <f t="shared" ref="K25:M25" si="17">+K12/G12-1</f>
        <v>1.1265681866837935</v>
      </c>
      <c r="L25" s="6">
        <f t="shared" si="17"/>
        <v>0.39001138303927152</v>
      </c>
      <c r="M25" s="6">
        <f t="shared" si="17"/>
        <v>5.3587041553541104E-2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6">
        <f>+AA12/Z12-1</f>
        <v>0.57113282477183214</v>
      </c>
      <c r="AB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x14ac:dyDescent="0.2">
      <c r="A26" t="s">
        <v>39</v>
      </c>
      <c r="B26" s="1"/>
      <c r="C26" s="1"/>
      <c r="D26" s="1"/>
      <c r="E26" s="1"/>
      <c r="F26" s="1"/>
      <c r="G26" s="1"/>
      <c r="H26" s="1"/>
      <c r="I26" s="1"/>
      <c r="J26" s="6">
        <f>+J13/F13-1</f>
        <v>2.5173513900644573</v>
      </c>
      <c r="K26" s="6">
        <f t="shared" ref="K26:M26" si="18">+K13/G13-1</f>
        <v>1.1647669275263697</v>
      </c>
      <c r="L26" s="6">
        <f t="shared" si="18"/>
        <v>0.56524545608968912</v>
      </c>
      <c r="M26" s="6">
        <f t="shared" si="18"/>
        <v>0.40689437729900169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1"/>
      <c r="Z26" s="1"/>
      <c r="AA26" s="6">
        <f>+AA13/Z13-1</f>
        <v>0.88061028123678597</v>
      </c>
      <c r="AB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5" x14ac:dyDescent="0.25">
      <c r="A27" s="2" t="s">
        <v>40</v>
      </c>
      <c r="B27" s="4"/>
      <c r="C27" s="4"/>
      <c r="D27" s="4"/>
      <c r="E27" s="4"/>
      <c r="F27" s="4"/>
      <c r="G27" s="4"/>
      <c r="H27" s="4" t="s">
        <v>7</v>
      </c>
      <c r="I27" s="4"/>
      <c r="J27" s="5">
        <f>+J6/F6-1</f>
        <v>1.6771514585279768</v>
      </c>
      <c r="K27" s="5">
        <f t="shared" ref="K27:M27" si="19">+K6/G6-1</f>
        <v>1.7715300569149601</v>
      </c>
      <c r="L27" s="5">
        <f t="shared" si="19"/>
        <v>0.77632268501640533</v>
      </c>
      <c r="M27" s="5">
        <f t="shared" si="19"/>
        <v>0.60339099553213416</v>
      </c>
      <c r="N27" s="5"/>
      <c r="O27" s="5"/>
      <c r="P27" s="5"/>
      <c r="Q27" s="5"/>
      <c r="R27" s="5"/>
      <c r="S27" s="5"/>
      <c r="T27" s="5"/>
      <c r="U27" s="5"/>
      <c r="X27" s="5"/>
      <c r="Y27" s="4"/>
      <c r="Z27" s="4"/>
      <c r="AA27" s="5">
        <f>+AA6/Z6-1</f>
        <v>0.98359547759020538</v>
      </c>
      <c r="AB27" s="4"/>
      <c r="AE27" s="4"/>
      <c r="AF27" s="4"/>
      <c r="AG27" s="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x14ac:dyDescent="0.2">
      <c r="B28" s="1"/>
      <c r="C28" s="1"/>
      <c r="D28" s="1"/>
      <c r="E28" s="1"/>
      <c r="F28" s="1"/>
      <c r="G28" s="1"/>
      <c r="H28" s="1" t="s">
        <v>41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X28" s="1"/>
      <c r="Y28" s="1"/>
      <c r="Z28" s="1"/>
      <c r="AA28" s="1"/>
      <c r="AB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x14ac:dyDescent="0.2">
      <c r="A29" t="s">
        <v>83</v>
      </c>
      <c r="B29" s="1"/>
      <c r="C29" s="1"/>
      <c r="D29" s="1"/>
      <c r="E29" s="1"/>
      <c r="F29" s="6">
        <f>+F11/F6</f>
        <v>0.18774006020969583</v>
      </c>
      <c r="G29" s="6">
        <f t="shared" ref="G29:AA29" si="20">+G11/G6</f>
        <v>0.17558472851148685</v>
      </c>
      <c r="H29" s="6">
        <f t="shared" si="20"/>
        <v>0.17968465184104995</v>
      </c>
      <c r="I29" s="6">
        <f t="shared" si="20"/>
        <v>0.15027494558368656</v>
      </c>
      <c r="J29" s="6">
        <f t="shared" si="20"/>
        <v>0.17058629648299661</v>
      </c>
      <c r="K29" s="6">
        <f t="shared" si="20"/>
        <v>0.16056345417344314</v>
      </c>
      <c r="L29" s="6">
        <f t="shared" si="20"/>
        <v>0.16966876926086386</v>
      </c>
      <c r="M29" s="6">
        <f t="shared" si="20"/>
        <v>0.15001480014698076</v>
      </c>
      <c r="N29" s="6"/>
      <c r="O29" s="6"/>
      <c r="P29" s="6"/>
      <c r="Q29" s="6"/>
      <c r="R29" s="6"/>
      <c r="S29" s="6"/>
      <c r="T29" s="6"/>
      <c r="U29" s="6"/>
      <c r="X29" s="6"/>
      <c r="Y29" s="6" t="s">
        <v>7</v>
      </c>
      <c r="Z29" s="8">
        <f t="shared" si="20"/>
        <v>0.1679504206892832</v>
      </c>
      <c r="AA29" s="8">
        <f t="shared" si="20"/>
        <v>0.16122053784080259</v>
      </c>
      <c r="AB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x14ac:dyDescent="0.2">
      <c r="A30" t="s">
        <v>84</v>
      </c>
      <c r="B30" s="1"/>
      <c r="C30" s="1"/>
      <c r="D30" s="1"/>
      <c r="E30" s="1"/>
      <c r="F30" s="7">
        <f>+F18/F17</f>
        <v>-1.0887953845486487E-2</v>
      </c>
      <c r="G30" s="6" t="s">
        <v>7</v>
      </c>
      <c r="H30" s="6" t="s">
        <v>7</v>
      </c>
      <c r="I30" s="6" t="s">
        <v>7</v>
      </c>
      <c r="J30" s="7">
        <f t="shared" ref="J30" si="21">+J18/J17</f>
        <v>-3.7056174798848454E-3</v>
      </c>
      <c r="K30" s="6">
        <f t="shared" ref="K30:AA30" si="22">+K18/K17</f>
        <v>3.0667652842169825E-4</v>
      </c>
      <c r="L30" s="6">
        <f t="shared" si="22"/>
        <v>-1.2796887796887797E-4</v>
      </c>
      <c r="M30" s="6">
        <f t="shared" si="22"/>
        <v>9.665035604885229E-2</v>
      </c>
      <c r="N30" s="6"/>
      <c r="O30" s="6"/>
      <c r="P30" s="6"/>
      <c r="Q30" s="6"/>
      <c r="R30" s="6"/>
      <c r="S30" s="6"/>
      <c r="T30" s="6"/>
      <c r="U30" s="6"/>
      <c r="X30" s="6"/>
      <c r="Y30" s="6" t="s">
        <v>7</v>
      </c>
      <c r="Z30" s="8">
        <f t="shared" si="22"/>
        <v>-1.804599932417373E-3</v>
      </c>
      <c r="AA30" s="8">
        <f t="shared" si="22"/>
        <v>2.1739744205087664E-2</v>
      </c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x14ac:dyDescent="0.2">
      <c r="A31" t="s">
        <v>85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x14ac:dyDescent="0.2">
      <c r="A32" t="s">
        <v>67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x14ac:dyDescent="0.2">
      <c r="A33" t="s">
        <v>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258770</v>
      </c>
      <c r="N33" s="1"/>
      <c r="O33" s="1"/>
      <c r="P33" s="1"/>
      <c r="Q33" s="1"/>
      <c r="R33" s="1"/>
      <c r="S33" s="1"/>
      <c r="T33" s="1"/>
      <c r="U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2">
      <c r="A34" t="s">
        <v>67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69206</v>
      </c>
      <c r="N34" s="1"/>
      <c r="O34" s="1"/>
      <c r="P34" s="1"/>
      <c r="Q34" s="1"/>
      <c r="R34" s="1"/>
      <c r="S34" s="1"/>
      <c r="T34" s="1"/>
      <c r="U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x14ac:dyDescent="0.2">
      <c r="A35" t="s">
        <v>68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121149</v>
      </c>
      <c r="N35" s="1"/>
      <c r="O35" s="1"/>
      <c r="P35" s="1"/>
      <c r="Q35" s="1"/>
      <c r="R35" s="1"/>
      <c r="S35" s="1"/>
      <c r="T35" s="1"/>
      <c r="U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">
      <c r="A36" t="s">
        <v>69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>
        <v>136121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">
      <c r="A37" t="s">
        <v>70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34577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x14ac:dyDescent="0.2">
      <c r="A38" t="s">
        <v>74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v>34507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x14ac:dyDescent="0.2">
      <c r="A39" t="s">
        <v>71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85236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x14ac:dyDescent="0.2">
      <c r="A40" t="s">
        <v>72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217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x14ac:dyDescent="0.2">
      <c r="A41" t="s">
        <v>73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v>24191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x14ac:dyDescent="0.2">
      <c r="A43" t="s">
        <v>75</v>
      </c>
      <c r="M43" s="1">
        <v>109918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63" x14ac:dyDescent="0.2">
      <c r="A44" t="s">
        <v>76</v>
      </c>
      <c r="M44" s="1">
        <v>99992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63" x14ac:dyDescent="0.2">
      <c r="A45" t="s">
        <v>77</v>
      </c>
      <c r="M45" s="1">
        <v>28322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63" x14ac:dyDescent="0.2">
      <c r="A46" t="s">
        <v>78</v>
      </c>
      <c r="M46" s="1">
        <v>787227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63" x14ac:dyDescent="0.2">
      <c r="A47" t="s">
        <v>79</v>
      </c>
      <c r="M47" s="1">
        <v>27967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9" spans="1:1" x14ac:dyDescent="0.2">
      <c r="A49" t="s">
        <v>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6" ma:contentTypeDescription="Criar um novo documento." ma:contentTypeScope="" ma:versionID="a69c8557812fdce02e4884327d4021cd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df2c335e9af1861dda24e1cd6a142658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12120D-3BA8-4560-803B-D3A0201641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367960-153C-4EC3-9852-5C7D3E5661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70BECF-B16F-4B11-9BAC-5129DEC1199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02570eab-4ecf-4bb5-b806-a666b23f79b6"/>
    <ds:schemaRef ds:uri="http://schemas.openxmlformats.org/package/2006/metadata/core-properties"/>
    <ds:schemaRef ds:uri="http://schemas.microsoft.com/office/infopath/2007/PartnerControls"/>
    <ds:schemaRef ds:uri="de0fd296-9832-4e10-a7ad-2bcee574d3b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2023-11-21T15:30:15Z</dcterms:created>
  <dcterms:modified xsi:type="dcterms:W3CDTF">2025-09-12T07:59:44Z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