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Desktop/Models/"/>
    </mc:Choice>
  </mc:AlternateContent>
  <xr:revisionPtr revIDLastSave="309" documentId="13_ncr:1_{6163E57C-C2D6-437B-B49D-E92E07F3D9CA}" xr6:coauthVersionLast="47" xr6:coauthVersionMax="47" xr10:uidLastSave="{23154D86-D2EC-4177-B932-7832837397DC}"/>
  <bookViews>
    <workbookView xWindow="28680" yWindow="-990" windowWidth="29040" windowHeight="15720" activeTab="1" xr2:uid="{9526C754-8102-417E-8ED0-E3E090292D4C}"/>
  </bookViews>
  <sheets>
    <sheet name="main" sheetId="1" r:id="rId1"/>
    <sheet name="model" sheetId="2" r:id="rId2"/>
    <sheet name="executiv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11" i="2" l="1"/>
  <c r="AG11" i="2"/>
  <c r="AF11" i="2"/>
  <c r="AE11" i="2"/>
  <c r="AJ16" i="2"/>
  <c r="AI16" i="2"/>
  <c r="AH16" i="2"/>
  <c r="AG16" i="2"/>
  <c r="AF18" i="2"/>
  <c r="AG18" i="2" s="1"/>
  <c r="AH18" i="2" s="1"/>
  <c r="AI18" i="2" s="1"/>
  <c r="AJ18" i="2" s="1"/>
  <c r="AE18" i="2"/>
  <c r="AF17" i="2"/>
  <c r="AG17" i="2" s="1"/>
  <c r="AH17" i="2" s="1"/>
  <c r="AI17" i="2" s="1"/>
  <c r="AJ17" i="2" s="1"/>
  <c r="AE17" i="2"/>
  <c r="AE13" i="2"/>
  <c r="AE12" i="2"/>
  <c r="J102" i="2"/>
  <c r="B2" i="1" a="1"/>
  <c r="B2" i="1" s="1"/>
  <c r="I102" i="2"/>
  <c r="H102" i="2"/>
  <c r="G102" i="2"/>
  <c r="F102" i="2"/>
  <c r="E102" i="2"/>
  <c r="D102" i="2"/>
  <c r="C102" i="2"/>
  <c r="AC102" i="2"/>
  <c r="AB102" i="2"/>
  <c r="AD102" i="2"/>
  <c r="AE3" i="2"/>
  <c r="AF3" i="2" s="1"/>
  <c r="AG3" i="2" s="1"/>
  <c r="AH3" i="2" s="1"/>
  <c r="AI3" i="2" s="1"/>
  <c r="AJ3" i="2" s="1"/>
  <c r="AE5" i="2"/>
  <c r="AF5" i="2" s="1"/>
  <c r="AG5" i="2" s="1"/>
  <c r="AH5" i="2" s="1"/>
  <c r="AI5" i="2" s="1"/>
  <c r="AJ5" i="2" s="1"/>
  <c r="AE4" i="2"/>
  <c r="AF4" i="2" s="1"/>
  <c r="AG4" i="2" s="1"/>
  <c r="AH4" i="2" s="1"/>
  <c r="AI4" i="2" s="1"/>
  <c r="AJ4" i="2" s="1"/>
  <c r="B6" i="1"/>
  <c r="B5" i="1"/>
  <c r="AD100" i="2"/>
  <c r="AD98" i="2"/>
  <c r="AD96" i="2"/>
  <c r="AD87" i="2"/>
  <c r="AD78" i="2"/>
  <c r="AD63" i="2"/>
  <c r="AD54" i="2"/>
  <c r="AD64" i="2" s="1"/>
  <c r="AC31" i="2"/>
  <c r="AD25" i="2"/>
  <c r="AD23" i="2"/>
  <c r="AD18" i="2"/>
  <c r="AD17" i="2"/>
  <c r="AD16" i="2"/>
  <c r="AD13" i="2"/>
  <c r="AF13" i="2" s="1"/>
  <c r="AG13" i="2" s="1"/>
  <c r="AH13" i="2" s="1"/>
  <c r="AI13" i="2" s="1"/>
  <c r="AJ13" i="2" s="1"/>
  <c r="AD12" i="2"/>
  <c r="AD6" i="2"/>
  <c r="AD34" i="2" s="1"/>
  <c r="AD5" i="2"/>
  <c r="AD33" i="2" s="1"/>
  <c r="AD4" i="2"/>
  <c r="AD32" i="2" s="1"/>
  <c r="AD3" i="2"/>
  <c r="AD31" i="2" s="1"/>
  <c r="AD2" i="2"/>
  <c r="AD9" i="2" s="1"/>
  <c r="T35" i="2"/>
  <c r="S35" i="2"/>
  <c r="R35" i="2"/>
  <c r="Q35" i="2"/>
  <c r="P35" i="2"/>
  <c r="O35" i="2"/>
  <c r="N35" i="2"/>
  <c r="S15" i="2"/>
  <c r="S37" i="2" s="1"/>
  <c r="R15" i="2"/>
  <c r="R37" i="2" s="1"/>
  <c r="Q15" i="2"/>
  <c r="Q37" i="2" s="1"/>
  <c r="P15" i="2"/>
  <c r="P37" i="2" s="1"/>
  <c r="O15" i="2"/>
  <c r="O21" i="2" s="1"/>
  <c r="N15" i="2"/>
  <c r="N21" i="2" s="1"/>
  <c r="M15" i="2"/>
  <c r="M21" i="2" s="1"/>
  <c r="S1" i="2"/>
  <c r="R1" i="2" s="1"/>
  <c r="Q1" i="2" s="1"/>
  <c r="P1" i="2" s="1"/>
  <c r="O1" i="2" s="1"/>
  <c r="N1" i="2" s="1"/>
  <c r="M1" i="2" s="1"/>
  <c r="J34" i="2"/>
  <c r="J33" i="2"/>
  <c r="J32" i="2"/>
  <c r="J31" i="2"/>
  <c r="J30" i="2"/>
  <c r="J96" i="2"/>
  <c r="J87" i="2"/>
  <c r="J78" i="2"/>
  <c r="J100" i="2" s="1"/>
  <c r="I96" i="2"/>
  <c r="I87" i="2"/>
  <c r="I63" i="2"/>
  <c r="I65" i="2" s="1"/>
  <c r="I54" i="2"/>
  <c r="I41" i="2"/>
  <c r="I34" i="2"/>
  <c r="I33" i="2"/>
  <c r="I32" i="2"/>
  <c r="I31" i="2"/>
  <c r="I30" i="2"/>
  <c r="H96" i="2"/>
  <c r="H87" i="2"/>
  <c r="H34" i="2"/>
  <c r="H33" i="2"/>
  <c r="H32" i="2"/>
  <c r="H31" i="2"/>
  <c r="H30" i="2"/>
  <c r="AE10" i="2"/>
  <c r="AF10" i="2" s="1"/>
  <c r="AG10" i="2" s="1"/>
  <c r="AH10" i="2" s="1"/>
  <c r="AI10" i="2" s="1"/>
  <c r="AJ10" i="2" s="1"/>
  <c r="AC41" i="2"/>
  <c r="AB41" i="2"/>
  <c r="AA96" i="2"/>
  <c r="AC96" i="2"/>
  <c r="AB96" i="2"/>
  <c r="Z96" i="2"/>
  <c r="Y96" i="2"/>
  <c r="X96" i="2"/>
  <c r="W96" i="2"/>
  <c r="V96" i="2"/>
  <c r="U96" i="2"/>
  <c r="T96" i="2"/>
  <c r="AC87" i="2"/>
  <c r="AB87" i="2"/>
  <c r="AA87" i="2"/>
  <c r="Z87" i="2"/>
  <c r="Y87" i="2"/>
  <c r="X87" i="2"/>
  <c r="W87" i="2"/>
  <c r="V87" i="2"/>
  <c r="U87" i="2"/>
  <c r="T87" i="2"/>
  <c r="AB20" i="2"/>
  <c r="AA20" i="2"/>
  <c r="Z20" i="2"/>
  <c r="X20" i="2"/>
  <c r="AC20" i="2"/>
  <c r="AB63" i="2"/>
  <c r="AC63" i="2"/>
  <c r="AB54" i="2"/>
  <c r="AB64" i="2" s="1"/>
  <c r="AC54" i="2"/>
  <c r="AC64" i="2" s="1"/>
  <c r="U11" i="2"/>
  <c r="V11" i="2"/>
  <c r="W11" i="2"/>
  <c r="X11" i="2"/>
  <c r="Y11" i="2"/>
  <c r="Z11" i="2"/>
  <c r="AA11" i="2"/>
  <c r="AB11" i="2"/>
  <c r="AC11" i="2"/>
  <c r="AC34" i="2"/>
  <c r="AB34" i="2"/>
  <c r="AA34" i="2"/>
  <c r="AC33" i="2"/>
  <c r="AB33" i="2"/>
  <c r="AA33" i="2"/>
  <c r="Z33" i="2"/>
  <c r="Y33" i="2"/>
  <c r="X33" i="2"/>
  <c r="W33" i="2"/>
  <c r="V33" i="2"/>
  <c r="U33" i="2"/>
  <c r="AC32" i="2"/>
  <c r="AB32" i="2"/>
  <c r="AA32" i="2"/>
  <c r="Z32" i="2"/>
  <c r="Y32" i="2"/>
  <c r="X32" i="2"/>
  <c r="W32" i="2"/>
  <c r="V32" i="2"/>
  <c r="U32" i="2"/>
  <c r="AB31" i="2"/>
  <c r="AA31" i="2"/>
  <c r="Z31" i="2"/>
  <c r="Y31" i="2"/>
  <c r="X31" i="2"/>
  <c r="W31" i="2"/>
  <c r="V31" i="2"/>
  <c r="U31" i="2"/>
  <c r="AB30" i="2"/>
  <c r="AA30" i="2"/>
  <c r="Z30" i="2"/>
  <c r="Y30" i="2"/>
  <c r="X30" i="2"/>
  <c r="W30" i="2"/>
  <c r="V30" i="2"/>
  <c r="U30" i="2"/>
  <c r="AC30" i="2"/>
  <c r="G34" i="2"/>
  <c r="G33" i="2"/>
  <c r="G32" i="2"/>
  <c r="G31" i="2"/>
  <c r="G30" i="2"/>
  <c r="F96" i="2"/>
  <c r="E96" i="2"/>
  <c r="D96" i="2"/>
  <c r="C96" i="2"/>
  <c r="G96" i="2"/>
  <c r="F87" i="2"/>
  <c r="E87" i="2"/>
  <c r="D87" i="2"/>
  <c r="C87" i="2"/>
  <c r="G87" i="2"/>
  <c r="G41" i="2"/>
  <c r="J20" i="2"/>
  <c r="I20" i="2"/>
  <c r="H20" i="2"/>
  <c r="G20" i="2"/>
  <c r="F20" i="2"/>
  <c r="E20" i="2"/>
  <c r="D20" i="2"/>
  <c r="C20" i="2"/>
  <c r="G63" i="2"/>
  <c r="G65" i="2" s="1"/>
  <c r="G54" i="2"/>
  <c r="AE2" i="2" l="1"/>
  <c r="AF2" i="2" s="1"/>
  <c r="AG2" i="2" s="1"/>
  <c r="AH2" i="2" s="1"/>
  <c r="AI2" i="2" s="1"/>
  <c r="AJ2" i="2" s="1"/>
  <c r="AC65" i="2"/>
  <c r="AE6" i="2"/>
  <c r="AF6" i="2" s="1"/>
  <c r="AG6" i="2" s="1"/>
  <c r="AH6" i="2" s="1"/>
  <c r="AI6" i="2" s="1"/>
  <c r="AJ6" i="2" s="1"/>
  <c r="AB65" i="2"/>
  <c r="AD65" i="2"/>
  <c r="Q21" i="2"/>
  <c r="Q38" i="2" s="1"/>
  <c r="R21" i="2"/>
  <c r="R24" i="2" s="1"/>
  <c r="R26" i="2" s="1"/>
  <c r="R39" i="2" s="1"/>
  <c r="S21" i="2"/>
  <c r="S24" i="2" s="1"/>
  <c r="S26" i="2" s="1"/>
  <c r="S39" i="2" s="1"/>
  <c r="AD11" i="2"/>
  <c r="AD30" i="2"/>
  <c r="P21" i="2"/>
  <c r="P24" i="2" s="1"/>
  <c r="P26" i="2" s="1"/>
  <c r="P39" i="2" s="1"/>
  <c r="O24" i="2"/>
  <c r="O26" i="2" s="1"/>
  <c r="O39" i="2" s="1"/>
  <c r="O38" i="2"/>
  <c r="M24" i="2"/>
  <c r="M26" i="2" s="1"/>
  <c r="M39" i="2" s="1"/>
  <c r="M38" i="2"/>
  <c r="N24" i="2"/>
  <c r="N26" i="2" s="1"/>
  <c r="N39" i="2" s="1"/>
  <c r="N38" i="2"/>
  <c r="M37" i="2"/>
  <c r="N37" i="2"/>
  <c r="O37" i="2"/>
  <c r="V98" i="2"/>
  <c r="W98" i="2"/>
  <c r="AJ32" i="2"/>
  <c r="AJ31" i="2"/>
  <c r="AD35" i="2"/>
  <c r="T98" i="2"/>
  <c r="U98" i="2"/>
  <c r="AH33" i="2"/>
  <c r="X98" i="2"/>
  <c r="AM13" i="2"/>
  <c r="AD27" i="2"/>
  <c r="AE27" i="2" s="1"/>
  <c r="AF27" i="2" s="1"/>
  <c r="AG27" i="2" s="1"/>
  <c r="AH27" i="2" s="1"/>
  <c r="AI27" i="2" s="1"/>
  <c r="AJ27" i="2" s="1"/>
  <c r="T23" i="2"/>
  <c r="U23" i="2"/>
  <c r="W23" i="2"/>
  <c r="V23" i="2"/>
  <c r="X23" i="2"/>
  <c r="T20" i="2"/>
  <c r="T14" i="2"/>
  <c r="Y18" i="2"/>
  <c r="Y20" i="2" s="1"/>
  <c r="W20" i="2"/>
  <c r="V20" i="2"/>
  <c r="U20" i="2"/>
  <c r="Z14" i="2"/>
  <c r="Y14" i="2"/>
  <c r="X14" i="2"/>
  <c r="W14" i="2"/>
  <c r="V14" i="2"/>
  <c r="U14" i="2"/>
  <c r="AB1" i="2"/>
  <c r="AC1" i="2" s="1"/>
  <c r="AD1" i="2" s="1"/>
  <c r="AE1" i="2" s="1"/>
  <c r="AF1" i="2" s="1"/>
  <c r="AG1" i="2" s="1"/>
  <c r="AH1" i="2" s="1"/>
  <c r="AI1" i="2" s="1"/>
  <c r="AC14" i="2"/>
  <c r="AB14" i="2"/>
  <c r="AA14" i="2"/>
  <c r="J14" i="2"/>
  <c r="I14" i="2"/>
  <c r="H14" i="2"/>
  <c r="F14" i="2"/>
  <c r="E14" i="2"/>
  <c r="D14" i="2"/>
  <c r="C14" i="2"/>
  <c r="G14" i="2"/>
  <c r="J11" i="2"/>
  <c r="I11" i="2"/>
  <c r="H11" i="2"/>
  <c r="F11" i="2"/>
  <c r="E11" i="2"/>
  <c r="D11" i="2"/>
  <c r="C11" i="2"/>
  <c r="G11" i="2"/>
  <c r="B4" i="1"/>
  <c r="B7" i="1" s="1"/>
  <c r="J107" i="2" l="1"/>
  <c r="J105" i="2"/>
  <c r="J106" i="2"/>
  <c r="G105" i="2"/>
  <c r="G107" i="2"/>
  <c r="G106" i="2"/>
  <c r="C105" i="2"/>
  <c r="C107" i="2"/>
  <c r="C106" i="2"/>
  <c r="D105" i="2"/>
  <c r="D107" i="2"/>
  <c r="D106" i="2"/>
  <c r="F105" i="2"/>
  <c r="F107" i="2"/>
  <c r="F106" i="2"/>
  <c r="S38" i="2"/>
  <c r="E107" i="2"/>
  <c r="E106" i="2"/>
  <c r="E105" i="2"/>
  <c r="H105" i="2"/>
  <c r="H107" i="2"/>
  <c r="H106" i="2"/>
  <c r="I105" i="2"/>
  <c r="I107" i="2"/>
  <c r="I106" i="2"/>
  <c r="Q24" i="2"/>
  <c r="Q26" i="2" s="1"/>
  <c r="Q39" i="2" s="1"/>
  <c r="R38" i="2"/>
  <c r="P38" i="2"/>
  <c r="AI32" i="2"/>
  <c r="AH32" i="2"/>
  <c r="AG32" i="2"/>
  <c r="G15" i="2"/>
  <c r="G37" i="2" s="1"/>
  <c r="AE32" i="2"/>
  <c r="AF32" i="2"/>
  <c r="AE9" i="2"/>
  <c r="AG33" i="2"/>
  <c r="AE33" i="2"/>
  <c r="AF33" i="2"/>
  <c r="AG31" i="2"/>
  <c r="AF31" i="2"/>
  <c r="AE30" i="2"/>
  <c r="AJ33" i="2"/>
  <c r="AI33" i="2"/>
  <c r="AE16" i="2"/>
  <c r="AI31" i="2"/>
  <c r="AE31" i="2"/>
  <c r="AH31" i="2"/>
  <c r="AE34" i="2"/>
  <c r="D15" i="2"/>
  <c r="D37" i="2" s="1"/>
  <c r="AD14" i="2"/>
  <c r="AD20" i="2"/>
  <c r="E15" i="2"/>
  <c r="E21" i="2" s="1"/>
  <c r="H15" i="2"/>
  <c r="H37" i="2" s="1"/>
  <c r="U35" i="2"/>
  <c r="F15" i="2"/>
  <c r="F37" i="2" s="1"/>
  <c r="I15" i="2"/>
  <c r="I37" i="2" s="1"/>
  <c r="AA35" i="2"/>
  <c r="T15" i="2"/>
  <c r="U15" i="2"/>
  <c r="V15" i="2"/>
  <c r="V21" i="2" s="1"/>
  <c r="W15" i="2"/>
  <c r="W21" i="2" s="1"/>
  <c r="W24" i="2" s="1"/>
  <c r="W26" i="2" s="1"/>
  <c r="W39" i="2" s="1"/>
  <c r="X15" i="2"/>
  <c r="X21" i="2" s="1"/>
  <c r="X24" i="2" s="1"/>
  <c r="X26" i="2" s="1"/>
  <c r="X39" i="2" s="1"/>
  <c r="V35" i="2"/>
  <c r="W35" i="2"/>
  <c r="X35" i="2"/>
  <c r="Y15" i="2"/>
  <c r="Y21" i="2" s="1"/>
  <c r="Y24" i="2" s="1"/>
  <c r="Y26" i="2" s="1"/>
  <c r="Y39" i="2" s="1"/>
  <c r="Y35" i="2"/>
  <c r="Z15" i="2"/>
  <c r="Z21" i="2" s="1"/>
  <c r="Z24" i="2" s="1"/>
  <c r="Z26" i="2" s="1"/>
  <c r="Z39" i="2" s="1"/>
  <c r="Z35" i="2"/>
  <c r="AB35" i="2"/>
  <c r="J35" i="2"/>
  <c r="J15" i="2"/>
  <c r="J37" i="2" s="1"/>
  <c r="AC35" i="2"/>
  <c r="H35" i="2"/>
  <c r="G35" i="2"/>
  <c r="C15" i="2"/>
  <c r="I35" i="2"/>
  <c r="AC15" i="2"/>
  <c r="AB15" i="2"/>
  <c r="AA15" i="2"/>
  <c r="AG30" i="2" l="1"/>
  <c r="AF30" i="2"/>
  <c r="AF9" i="2"/>
  <c r="G21" i="2"/>
  <c r="G38" i="2" s="1"/>
  <c r="T21" i="2"/>
  <c r="T37" i="2"/>
  <c r="AE14" i="2"/>
  <c r="AF34" i="2"/>
  <c r="AG9" i="2"/>
  <c r="AF35" i="2"/>
  <c r="D21" i="2"/>
  <c r="D24" i="2" s="1"/>
  <c r="D26" i="2" s="1"/>
  <c r="D39" i="2" s="1"/>
  <c r="AH30" i="2"/>
  <c r="W28" i="2"/>
  <c r="W67" i="2"/>
  <c r="Y28" i="2"/>
  <c r="Y67" i="2"/>
  <c r="Y98" i="2" s="1"/>
  <c r="Z28" i="2"/>
  <c r="Z67" i="2"/>
  <c r="Z98" i="2" s="1"/>
  <c r="X28" i="2"/>
  <c r="X67" i="2"/>
  <c r="AE20" i="2"/>
  <c r="E37" i="2"/>
  <c r="H21" i="2"/>
  <c r="H24" i="2" s="1"/>
  <c r="H26" i="2" s="1"/>
  <c r="H39" i="2" s="1"/>
  <c r="F21" i="2"/>
  <c r="F24" i="2" s="1"/>
  <c r="F26" i="2" s="1"/>
  <c r="F39" i="2" s="1"/>
  <c r="AE35" i="2"/>
  <c r="AD15" i="2"/>
  <c r="AD37" i="2" s="1"/>
  <c r="I21" i="2"/>
  <c r="I38" i="2" s="1"/>
  <c r="Z37" i="2"/>
  <c r="U21" i="2"/>
  <c r="U37" i="2"/>
  <c r="W38" i="2"/>
  <c r="V37" i="2"/>
  <c r="W37" i="2"/>
  <c r="X38" i="2"/>
  <c r="X37" i="2"/>
  <c r="V24" i="2"/>
  <c r="V26" i="2" s="1"/>
  <c r="V39" i="2" s="1"/>
  <c r="V38" i="2"/>
  <c r="Y37" i="2"/>
  <c r="Y38" i="2"/>
  <c r="Z38" i="2"/>
  <c r="J21" i="2"/>
  <c r="J38" i="2" s="1"/>
  <c r="AC21" i="2"/>
  <c r="AC37" i="2"/>
  <c r="AB21" i="2"/>
  <c r="AB37" i="2"/>
  <c r="C37" i="2"/>
  <c r="C21" i="2"/>
  <c r="E24" i="2"/>
  <c r="E26" i="2" s="1"/>
  <c r="E39" i="2" s="1"/>
  <c r="E38" i="2"/>
  <c r="AA21" i="2"/>
  <c r="AA37" i="2"/>
  <c r="T24" i="2" l="1"/>
  <c r="T26" i="2" s="1"/>
  <c r="T39" i="2" s="1"/>
  <c r="T38" i="2"/>
  <c r="G24" i="2"/>
  <c r="G26" i="2" s="1"/>
  <c r="G67" i="2" s="1"/>
  <c r="G78" i="2" s="1"/>
  <c r="AF12" i="2"/>
  <c r="AF14" i="2" s="1"/>
  <c r="AF15" i="2" s="1"/>
  <c r="AF37" i="2" s="1"/>
  <c r="AF16" i="2"/>
  <c r="AF20" i="2" s="1"/>
  <c r="AH9" i="2"/>
  <c r="AG34" i="2"/>
  <c r="H28" i="2"/>
  <c r="H67" i="2"/>
  <c r="H78" i="2" s="1"/>
  <c r="D38" i="2"/>
  <c r="AI30" i="2"/>
  <c r="AE15" i="2"/>
  <c r="AE21" i="2" s="1"/>
  <c r="V28" i="2"/>
  <c r="V67" i="2"/>
  <c r="F28" i="2"/>
  <c r="F67" i="2"/>
  <c r="F78" i="2" s="1"/>
  <c r="E28" i="2"/>
  <c r="E67" i="2"/>
  <c r="E78" i="2" s="1"/>
  <c r="D28" i="2"/>
  <c r="D67" i="2"/>
  <c r="D78" i="2" s="1"/>
  <c r="H38" i="2"/>
  <c r="F38" i="2"/>
  <c r="I24" i="2"/>
  <c r="I26" i="2" s="1"/>
  <c r="I39" i="2" s="1"/>
  <c r="AD21" i="2"/>
  <c r="U24" i="2"/>
  <c r="U26" i="2" s="1"/>
  <c r="U39" i="2" s="1"/>
  <c r="U38" i="2"/>
  <c r="J24" i="2"/>
  <c r="J26" i="2" s="1"/>
  <c r="C38" i="2"/>
  <c r="C24" i="2"/>
  <c r="C26" i="2" s="1"/>
  <c r="C39" i="2" s="1"/>
  <c r="AC24" i="2"/>
  <c r="AC26" i="2" s="1"/>
  <c r="AC39" i="2" s="1"/>
  <c r="AC38" i="2"/>
  <c r="AA24" i="2"/>
  <c r="AA26" i="2" s="1"/>
  <c r="AA39" i="2" s="1"/>
  <c r="AA38" i="2"/>
  <c r="AB24" i="2"/>
  <c r="AB26" i="2" s="1"/>
  <c r="AB39" i="2" s="1"/>
  <c r="AB38" i="2"/>
  <c r="J28" i="2" l="1"/>
  <c r="J39" i="2"/>
  <c r="G28" i="2"/>
  <c r="G39" i="2"/>
  <c r="T28" i="2"/>
  <c r="T67" i="2"/>
  <c r="I28" i="2"/>
  <c r="I67" i="2"/>
  <c r="I78" i="2" s="1"/>
  <c r="AG12" i="2"/>
  <c r="AG14" i="2" s="1"/>
  <c r="AG35" i="2"/>
  <c r="AI9" i="2"/>
  <c r="AH34" i="2"/>
  <c r="H100" i="2"/>
  <c r="H98" i="2"/>
  <c r="D98" i="2"/>
  <c r="D100" i="2"/>
  <c r="E98" i="2"/>
  <c r="E100" i="2"/>
  <c r="F98" i="2"/>
  <c r="F100" i="2"/>
  <c r="G98" i="2"/>
  <c r="G100" i="2"/>
  <c r="AJ30" i="2"/>
  <c r="AE37" i="2"/>
  <c r="AF21" i="2"/>
  <c r="AF38" i="2" s="1"/>
  <c r="AC28" i="2"/>
  <c r="AC78" i="2"/>
  <c r="AG20" i="2"/>
  <c r="AA28" i="2"/>
  <c r="AA67" i="2"/>
  <c r="AB28" i="2"/>
  <c r="AB78" i="2"/>
  <c r="U28" i="2"/>
  <c r="U67" i="2"/>
  <c r="C28" i="2"/>
  <c r="C67" i="2"/>
  <c r="C78" i="2" s="1"/>
  <c r="AE38" i="2"/>
  <c r="AD24" i="2"/>
  <c r="AD38" i="2"/>
  <c r="I98" i="2" l="1"/>
  <c r="I100" i="2"/>
  <c r="J101" i="2" s="1"/>
  <c r="AM16" i="2" s="1"/>
  <c r="AM17" i="2" s="1"/>
  <c r="I101" i="2"/>
  <c r="AH35" i="2"/>
  <c r="AH20" i="2"/>
  <c r="AH12" i="2"/>
  <c r="AH14" i="2" s="1"/>
  <c r="AB98" i="2"/>
  <c r="AB100" i="2"/>
  <c r="H101" i="2"/>
  <c r="AA98" i="2"/>
  <c r="AA100" i="2"/>
  <c r="AJ9" i="2"/>
  <c r="AI34" i="2"/>
  <c r="AI11" i="2"/>
  <c r="G101" i="2"/>
  <c r="C98" i="2"/>
  <c r="C100" i="2"/>
  <c r="F101" i="2" s="1"/>
  <c r="AC98" i="2"/>
  <c r="AC100" i="2"/>
  <c r="AG15" i="2"/>
  <c r="AG37" i="2" s="1"/>
  <c r="AD26" i="2"/>
  <c r="AD41" i="2" l="1"/>
  <c r="AD39" i="2"/>
  <c r="AI20" i="2"/>
  <c r="AI12" i="2"/>
  <c r="AI35" i="2"/>
  <c r="AJ34" i="2"/>
  <c r="AJ11" i="2"/>
  <c r="AG21" i="2"/>
  <c r="AG38" i="2" s="1"/>
  <c r="AH15" i="2"/>
  <c r="AH37" i="2" s="1"/>
  <c r="AI14" i="2"/>
  <c r="AE23" i="2"/>
  <c r="AE24" i="2" s="1"/>
  <c r="AE25" i="2" s="1"/>
  <c r="AE26" i="2" s="1"/>
  <c r="AD28" i="2"/>
  <c r="AE28" i="2" l="1"/>
  <c r="AE39" i="2"/>
  <c r="AJ35" i="2"/>
  <c r="AJ12" i="2"/>
  <c r="AJ14" i="2" s="1"/>
  <c r="AJ15" i="2" s="1"/>
  <c r="AJ37" i="2" s="1"/>
  <c r="AJ20" i="2"/>
  <c r="AI15" i="2"/>
  <c r="AI37" i="2" s="1"/>
  <c r="AH21" i="2"/>
  <c r="AH38" i="2" s="1"/>
  <c r="AE41" i="2"/>
  <c r="AF23" i="2" s="1"/>
  <c r="AF24" i="2" s="1"/>
  <c r="AF25" i="2" s="1"/>
  <c r="AF26" i="2" s="1"/>
  <c r="AF28" i="2" l="1"/>
  <c r="AF39" i="2"/>
  <c r="AI21" i="2"/>
  <c r="AI38" i="2" s="1"/>
  <c r="AJ21" i="2"/>
  <c r="AJ38" i="2" s="1"/>
  <c r="AF41" i="2"/>
  <c r="AG23" i="2" s="1"/>
  <c r="AG24" i="2" s="1"/>
  <c r="AG25" i="2" s="1"/>
  <c r="AG26" i="2" s="1"/>
  <c r="AG28" i="2" l="1"/>
  <c r="AG39" i="2"/>
  <c r="AG41" i="2"/>
  <c r="AH23" i="2" l="1"/>
  <c r="AH24" i="2" s="1"/>
  <c r="AH25" i="2" s="1"/>
  <c r="AH26" i="2" s="1"/>
  <c r="AH41" i="2" l="1"/>
  <c r="AI23" i="2" s="1"/>
  <c r="AI24" i="2" s="1"/>
  <c r="AI25" i="2" s="1"/>
  <c r="AI26" i="2" s="1"/>
  <c r="AH39" i="2"/>
  <c r="AH28" i="2"/>
  <c r="AI28" i="2" l="1"/>
  <c r="AI39" i="2"/>
  <c r="AI41" i="2"/>
  <c r="AJ23" i="2" s="1"/>
  <c r="AJ24" i="2" s="1"/>
  <c r="AJ25" i="2" s="1"/>
  <c r="AJ26" i="2" s="1"/>
  <c r="AK26" i="2" l="1"/>
  <c r="AL26" i="2" s="1"/>
  <c r="AM26" i="2" s="1"/>
  <c r="AN26" i="2" s="1"/>
  <c r="AO26" i="2" s="1"/>
  <c r="AP26" i="2" s="1"/>
  <c r="AQ26" i="2" s="1"/>
  <c r="AR26" i="2" s="1"/>
  <c r="AS26" i="2" s="1"/>
  <c r="AT26" i="2" s="1"/>
  <c r="AU26" i="2" s="1"/>
  <c r="AV26" i="2" s="1"/>
  <c r="AW26" i="2" s="1"/>
  <c r="AX26" i="2" s="1"/>
  <c r="AY26" i="2" s="1"/>
  <c r="AZ26" i="2" s="1"/>
  <c r="BA26" i="2" s="1"/>
  <c r="BB26" i="2" s="1"/>
  <c r="BC26" i="2" s="1"/>
  <c r="BD26" i="2" s="1"/>
  <c r="BE26" i="2" s="1"/>
  <c r="BF26" i="2" s="1"/>
  <c r="BG26" i="2" s="1"/>
  <c r="BH26" i="2" s="1"/>
  <c r="BI26" i="2" s="1"/>
  <c r="BJ26" i="2" s="1"/>
  <c r="BK26" i="2" s="1"/>
  <c r="BL26" i="2" s="1"/>
  <c r="BM26" i="2" s="1"/>
  <c r="BN26" i="2" s="1"/>
  <c r="BO26" i="2" s="1"/>
  <c r="BP26" i="2" s="1"/>
  <c r="BQ26" i="2" s="1"/>
  <c r="BR26" i="2" s="1"/>
  <c r="BS26" i="2" s="1"/>
  <c r="BT26" i="2" s="1"/>
  <c r="AJ39" i="2"/>
  <c r="AJ28" i="2"/>
  <c r="AJ41" i="2"/>
  <c r="AM12" i="2" l="1"/>
  <c r="AM14" i="2" s="1"/>
  <c r="AM15"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alexa</author>
  </authors>
  <commentList>
    <comment ref="J11" authorId="0" shapeId="0" xr:uid="{F490C4D4-D752-4427-A9A0-ED1D1E022F1E}">
      <text>
        <r>
          <rPr>
            <b/>
            <sz val="9"/>
            <color indexed="81"/>
            <rFont val="Tahoma"/>
            <family val="2"/>
          </rPr>
          <t>alexa:</t>
        </r>
        <r>
          <rPr>
            <sz val="9"/>
            <color indexed="81"/>
            <rFont val="Tahoma"/>
            <family val="2"/>
          </rPr>
          <t xml:space="preserve">
9900-10100 ~7/9% Y/Y</t>
        </r>
      </text>
    </comment>
    <comment ref="AD11" authorId="0" shapeId="0" xr:uid="{64C9A263-9E89-4442-89E6-B1007CDEE7E6}">
      <text>
        <r>
          <rPr>
            <b/>
            <sz val="9"/>
            <color indexed="81"/>
            <rFont val="Tahoma"/>
            <family val="2"/>
          </rPr>
          <t>alexa:</t>
        </r>
        <r>
          <rPr>
            <sz val="9"/>
            <color indexed="81"/>
            <rFont val="Tahoma"/>
            <family val="2"/>
          </rPr>
          <t xml:space="preserve">
37800-38000</t>
        </r>
      </text>
    </comment>
    <comment ref="AE11" authorId="0" shapeId="0" xr:uid="{03D5D321-A5C0-4230-8A6D-5336BC9A72A6}">
      <text>
        <r>
          <rPr>
            <b/>
            <sz val="9"/>
            <color indexed="81"/>
            <rFont val="Tahoma"/>
            <family val="2"/>
          </rPr>
          <t>alexa:</t>
        </r>
        <r>
          <rPr>
            <sz val="9"/>
            <color indexed="81"/>
            <rFont val="Tahoma"/>
            <family val="2"/>
          </rPr>
          <t xml:space="preserve">
40870</t>
        </r>
      </text>
    </comment>
    <comment ref="AF11" authorId="0" shapeId="0" xr:uid="{FE054F94-CC73-4F6D-B1B0-38543E717363}">
      <text>
        <r>
          <rPr>
            <b/>
            <sz val="9"/>
            <color indexed="81"/>
            <rFont val="Tahoma"/>
            <family val="2"/>
          </rPr>
          <t>alexa:</t>
        </r>
        <r>
          <rPr>
            <sz val="9"/>
            <color indexed="81"/>
            <rFont val="Tahoma"/>
            <family val="2"/>
          </rPr>
          <t xml:space="preserve">
44680</t>
        </r>
      </text>
    </comment>
    <comment ref="AI11" authorId="0" shapeId="0" xr:uid="{F11525CE-5FBA-4E4B-B73E-B800D1E7D311}">
      <text>
        <r>
          <rPr>
            <b/>
            <sz val="9"/>
            <color indexed="81"/>
            <rFont val="Tahoma"/>
            <family val="2"/>
          </rPr>
          <t>alexa:</t>
        </r>
        <r>
          <rPr>
            <sz val="9"/>
            <color indexed="81"/>
            <rFont val="Tahoma"/>
            <family val="2"/>
          </rPr>
          <t xml:space="preserve">
</t>
        </r>
      </text>
    </comment>
    <comment ref="AE28" authorId="0" shapeId="0" xr:uid="{548780C9-CBA1-408D-8651-15D3BE2FE685}">
      <text>
        <r>
          <rPr>
            <b/>
            <sz val="9"/>
            <color indexed="81"/>
            <rFont val="Tahoma"/>
            <family val="2"/>
          </rPr>
          <t>alexa:</t>
        </r>
        <r>
          <rPr>
            <sz val="9"/>
            <color indexed="81"/>
            <rFont val="Tahoma"/>
            <family val="2"/>
          </rPr>
          <t xml:space="preserve">
11.16</t>
        </r>
      </text>
    </comment>
    <comment ref="AF28" authorId="0" shapeId="0" xr:uid="{0B78BCE7-B19C-4139-A20C-4E0212A716AB}">
      <text>
        <r>
          <rPr>
            <b/>
            <sz val="9"/>
            <color indexed="81"/>
            <rFont val="Tahoma"/>
            <family val="2"/>
          </rPr>
          <t>alexa:</t>
        </r>
        <r>
          <rPr>
            <sz val="9"/>
            <color indexed="81"/>
            <rFont val="Tahoma"/>
            <family val="2"/>
          </rPr>
          <t xml:space="preserve">
12.56</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
    <bk>
      <extLst>
        <ext uri="{3e2802c4-a4d2-4d8b-9148-e3be6c30e623}">
          <xlrd:rvb i="2"/>
        </ext>
      </extLst>
    </bk>
  </futureMetadata>
  <futureMetadata name="XLDAPR" count="1">
    <bk>
      <extLst>
        <ext uri="{bdbb8cdc-fa1e-496e-a857-3c3f30c029c3}">
          <xda:dynamicArrayProperties fDynamic="1" fCollapsed="0"/>
        </ext>
      </extLst>
    </bk>
  </futureMetadata>
  <cellMetadata count="1">
    <bk>
      <rc t="2" v="0"/>
    </bk>
  </cellMetadata>
  <valueMetadata count="1">
    <bk>
      <rc t="1" v="0"/>
    </bk>
  </valueMetadata>
</metadata>
</file>

<file path=xl/sharedStrings.xml><?xml version="1.0" encoding="utf-8"?>
<sst xmlns="http://schemas.openxmlformats.org/spreadsheetml/2006/main" count="165" uniqueCount="152">
  <si>
    <t>ticket</t>
  </si>
  <si>
    <t>price</t>
  </si>
  <si>
    <t>shares</t>
  </si>
  <si>
    <t>mc</t>
  </si>
  <si>
    <t>cash</t>
  </si>
  <si>
    <t>debt</t>
  </si>
  <si>
    <t>ev</t>
  </si>
  <si>
    <t>Subscriptions</t>
  </si>
  <si>
    <t>Services</t>
  </si>
  <si>
    <t>Total Revenue</t>
  </si>
  <si>
    <t>Q1 2024</t>
  </si>
  <si>
    <t>Q2 2024</t>
  </si>
  <si>
    <t>Q3 2024</t>
  </si>
  <si>
    <t>Q4 2024</t>
  </si>
  <si>
    <t>Q1 2025</t>
  </si>
  <si>
    <t>Q2 2025</t>
  </si>
  <si>
    <t>Q3 2025</t>
  </si>
  <si>
    <t>Q4 2025</t>
  </si>
  <si>
    <t>COGS subs</t>
  </si>
  <si>
    <t>COGS services</t>
  </si>
  <si>
    <t>Total COGS</t>
  </si>
  <si>
    <t>Gross Profit</t>
  </si>
  <si>
    <t>R&amp;D</t>
  </si>
  <si>
    <t>S&amp;M</t>
  </si>
  <si>
    <t>G&amp;A</t>
  </si>
  <si>
    <t>Total Opex</t>
  </si>
  <si>
    <t>Operating Income</t>
  </si>
  <si>
    <t xml:space="preserve">Investments </t>
  </si>
  <si>
    <t>Other Income</t>
  </si>
  <si>
    <t>Pretax Income</t>
  </si>
  <si>
    <t>Taxes</t>
  </si>
  <si>
    <t>Net Income</t>
  </si>
  <si>
    <t xml:space="preserve">Shares </t>
  </si>
  <si>
    <t>EPS</t>
  </si>
  <si>
    <t>Revenue Y/Y</t>
  </si>
  <si>
    <t>Gross Margin</t>
  </si>
  <si>
    <t>Operating Margin</t>
  </si>
  <si>
    <t>CFFO</t>
  </si>
  <si>
    <t>SBC</t>
  </si>
  <si>
    <t>FCF</t>
  </si>
  <si>
    <t>Sales</t>
  </si>
  <si>
    <t>Service</t>
  </si>
  <si>
    <t>Platform</t>
  </si>
  <si>
    <t>Marketing &amp; Commerce</t>
  </si>
  <si>
    <t>Integration &amp; Analytics</t>
  </si>
  <si>
    <t>Discount</t>
  </si>
  <si>
    <t>Maturity</t>
  </si>
  <si>
    <t>NPV</t>
  </si>
  <si>
    <t>Net Cash</t>
  </si>
  <si>
    <t>EV</t>
  </si>
  <si>
    <t>Price</t>
  </si>
  <si>
    <t>main</t>
  </si>
  <si>
    <t>ms</t>
  </si>
  <si>
    <t>AR</t>
  </si>
  <si>
    <t>Cost of revenue contracts</t>
  </si>
  <si>
    <t>Prepaid expenses</t>
  </si>
  <si>
    <t>Prepaid expenses and OCA</t>
  </si>
  <si>
    <t>PPE</t>
  </si>
  <si>
    <t>Operating lease assets</t>
  </si>
  <si>
    <t>NC cost of revenue contracts</t>
  </si>
  <si>
    <t>Investments</t>
  </si>
  <si>
    <t>Goodwill</t>
  </si>
  <si>
    <t>Intangible Assets</t>
  </si>
  <si>
    <t>Deferred tax assets</t>
  </si>
  <si>
    <t>Total assets</t>
  </si>
  <si>
    <t>AP</t>
  </si>
  <si>
    <t>Operating lease liabilities</t>
  </si>
  <si>
    <t>Unearned revenue</t>
  </si>
  <si>
    <t>Current Debt</t>
  </si>
  <si>
    <t>NC Debt</t>
  </si>
  <si>
    <t>NC operating lease liabilities</t>
  </si>
  <si>
    <t xml:space="preserve">Other NC liabilities </t>
  </si>
  <si>
    <t>Total Liabilities</t>
  </si>
  <si>
    <t>S/E</t>
  </si>
  <si>
    <t>L+S/E</t>
  </si>
  <si>
    <t>Restructuring</t>
  </si>
  <si>
    <t>net cash</t>
  </si>
  <si>
    <t>D&amp;A</t>
  </si>
  <si>
    <t xml:space="preserve">Amortization of costs </t>
  </si>
  <si>
    <t>Gains on investments</t>
  </si>
  <si>
    <t>Business combinations cash</t>
  </si>
  <si>
    <t>Purchases of investments</t>
  </si>
  <si>
    <t>Sales of investments</t>
  </si>
  <si>
    <t>Purchases of MS</t>
  </si>
  <si>
    <t>Sales of MS</t>
  </si>
  <si>
    <t>Maturities of MS</t>
  </si>
  <si>
    <t>Capital Expenditures</t>
  </si>
  <si>
    <t>CFFI</t>
  </si>
  <si>
    <t>Repurchase of stock</t>
  </si>
  <si>
    <t>Proceeds from employee stock plans</t>
  </si>
  <si>
    <t>Principal payments of financing obligations</t>
  </si>
  <si>
    <t>Repayments of debt</t>
  </si>
  <si>
    <t>Dividend payments</t>
  </si>
  <si>
    <t>CFFF</t>
  </si>
  <si>
    <t>FX</t>
  </si>
  <si>
    <t>Net change in cash</t>
  </si>
  <si>
    <t>Sales Y/Y</t>
  </si>
  <si>
    <t>Service Y/Y</t>
  </si>
  <si>
    <t>Platform Y/Y</t>
  </si>
  <si>
    <t>Marketing &amp; Commerce Y/Y</t>
  </si>
  <si>
    <t>Integration &amp; Analytics Y/Y</t>
  </si>
  <si>
    <t>ROIC</t>
  </si>
  <si>
    <t>Proceeds from issuance of debt</t>
  </si>
  <si>
    <t>Repayments of Slack Convertible Notes</t>
  </si>
  <si>
    <t>Founded</t>
  </si>
  <si>
    <t>Founder</t>
  </si>
  <si>
    <t>CEO</t>
  </si>
  <si>
    <t>HQ</t>
  </si>
  <si>
    <t xml:space="preserve">IPO </t>
  </si>
  <si>
    <t>Industry</t>
  </si>
  <si>
    <t>Marc Benioff, Parker Harris, Frank Dominguez, and Dave Moellenhoff</t>
  </si>
  <si>
    <t>San Francisco, California, USA</t>
  </si>
  <si>
    <t>Customer Relationship Management (CRM)</t>
  </si>
  <si>
    <t>Employees</t>
  </si>
  <si>
    <t>73k</t>
  </si>
  <si>
    <t>Notable Acquisitions:</t>
  </si>
  <si>
    <t>Tableau (2019): $15.7 billion (analytics).</t>
  </si>
  <si>
    <t>MuleSoft (2018): $6.5 billion (integration software).</t>
  </si>
  <si>
    <t>Slack (2021): $27.7 billion (business communication and collaboration).</t>
  </si>
  <si>
    <t>ExactTarget (2013): $2.5 billion (digital marketing)</t>
  </si>
  <si>
    <t>Key Markets:</t>
  </si>
  <si>
    <t>Enterprise Collaboration</t>
  </si>
  <si>
    <t>Cloud Services</t>
  </si>
  <si>
    <t>Marc Benioff</t>
  </si>
  <si>
    <t>2004, NYSE</t>
  </si>
  <si>
    <t>FCF TTM</t>
  </si>
  <si>
    <t>TTM FCF</t>
  </si>
  <si>
    <t>EV/FCF</t>
  </si>
  <si>
    <t>Name</t>
  </si>
  <si>
    <t xml:space="preserve">Age </t>
  </si>
  <si>
    <t>Position</t>
  </si>
  <si>
    <t>Marc Benioff</t>
  </si>
  <si>
    <t>Chair of the Board, CEO and co-Founder</t>
  </si>
  <si>
    <t>Parker Harris</t>
  </si>
  <si>
    <t>Director, Chief Technology Officer, Slack and co-Founder</t>
  </si>
  <si>
    <t>Miguel Milano</t>
  </si>
  <si>
    <t>President and Chief Revenue Officer</t>
  </si>
  <si>
    <t>Brian Millham</t>
  </si>
  <si>
    <t>President and Chief Operating Officer</t>
  </si>
  <si>
    <t>Sabastian Niles</t>
  </si>
  <si>
    <t>President and Chief Legal Officer</t>
  </si>
  <si>
    <t>Sundeep Reddy</t>
  </si>
  <si>
    <t>Executive Vice President and Chief Accounting Officer</t>
  </si>
  <si>
    <t>David Schmaier</t>
  </si>
  <si>
    <t>President and Chief Product and Impact Officer</t>
  </si>
  <si>
    <t>Srinivas Tallapragada</t>
  </si>
  <si>
    <t>President and Chief Engineering Officer and Customer Success Officer</t>
  </si>
  <si>
    <t>Amy Weaver</t>
  </si>
  <si>
    <t>President and Chief Financial Officer</t>
  </si>
  <si>
    <t>Net Margin</t>
  </si>
  <si>
    <t>% sales</t>
  </si>
  <si>
    <t>%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</si>
</sst>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409]* #,##0.00_ ;_-[$$-409]* \-#,##0.00\ ;_-[$$-409]* &quot;-&quot;??_ ;_-@_ "/>
    <numFmt numFmtId="165" formatCode="0.0%"/>
    <numFmt numFmtId="166" formatCode="_([$$-409]* #,##0.00_);_([$$-409]* \(#,##0.00\);_([$$-409]* &quot;-&quot;??_);_(@_)"/>
    <numFmt numFmtId="167" formatCode="0.00\x"/>
  </numFmts>
  <fonts count="10" x14ac:knownFonts="1">
    <font>
      <sz val="11"/>
      <color theme="1"/>
      <name val="Aptos Narrow"/>
      <family val="2"/>
      <scheme val="minor"/>
    </font>
    <font>
      <sz val="10"/>
      <color theme="1"/>
      <name val="Arial"/>
      <family val="2"/>
    </font>
    <font>
      <b/>
      <sz val="10"/>
      <color theme="1"/>
      <name val="Arial"/>
      <family val="2"/>
    </font>
    <font>
      <u/>
      <sz val="11"/>
      <color theme="10"/>
      <name val="Aptos Narrow"/>
      <family val="2"/>
      <scheme val="minor"/>
    </font>
    <font>
      <u/>
      <sz val="10"/>
      <color theme="10"/>
      <name val="Arial"/>
      <family val="2"/>
    </font>
    <font>
      <sz val="9"/>
      <color indexed="81"/>
      <name val="Tahoma"/>
      <family val="2"/>
    </font>
    <font>
      <b/>
      <sz val="9"/>
      <color indexed="81"/>
      <name val="Tahoma"/>
      <family val="2"/>
    </font>
    <font>
      <sz val="10"/>
      <name val="Arial"/>
      <family val="2"/>
    </font>
    <font>
      <b/>
      <sz val="10"/>
      <name val="Arial"/>
      <family val="2"/>
    </font>
    <font>
      <b/>
      <u/>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xf numFmtId="0" fontId="2" fillId="0" borderId="0" xfId="0" applyFont="1"/>
    <xf numFmtId="3" fontId="2" fillId="0" borderId="0" xfId="0" applyNumberFormat="1" applyFont="1"/>
    <xf numFmtId="3" fontId="1" fillId="0" borderId="0" xfId="0" applyNumberFormat="1" applyFont="1"/>
    <xf numFmtId="9" fontId="1" fillId="0" borderId="0" xfId="0" applyNumberFormat="1" applyFont="1"/>
    <xf numFmtId="164" fontId="1" fillId="0" borderId="0" xfId="0" applyNumberFormat="1" applyFont="1"/>
    <xf numFmtId="165" fontId="1" fillId="0" borderId="0" xfId="0" applyNumberFormat="1" applyFont="1"/>
    <xf numFmtId="10" fontId="1" fillId="0" borderId="0" xfId="0" applyNumberFormat="1" applyFont="1"/>
    <xf numFmtId="0" fontId="1" fillId="0" borderId="0" xfId="0" applyFont="1" applyAlignment="1">
      <alignment horizontal="right"/>
    </xf>
    <xf numFmtId="3" fontId="1" fillId="0" borderId="0" xfId="0" applyNumberFormat="1" applyFont="1" applyAlignment="1">
      <alignment horizontal="right"/>
    </xf>
    <xf numFmtId="0" fontId="1" fillId="0" borderId="0" xfId="0" applyFont="1" applyAlignment="1">
      <alignment horizontal="left"/>
    </xf>
    <xf numFmtId="0" fontId="4" fillId="0" borderId="0" xfId="1" applyFont="1"/>
    <xf numFmtId="166" fontId="1" fillId="0" borderId="0" xfId="0" applyNumberFormat="1" applyFont="1" applyAlignment="1">
      <alignment horizontal="right"/>
    </xf>
    <xf numFmtId="167" fontId="1" fillId="0" borderId="0" xfId="0" applyNumberFormat="1" applyFont="1"/>
    <xf numFmtId="3" fontId="8" fillId="0" borderId="0" xfId="0" applyNumberFormat="1" applyFont="1"/>
    <xf numFmtId="3" fontId="7" fillId="0" borderId="0" xfId="0" applyNumberFormat="1" applyFont="1"/>
    <xf numFmtId="0" fontId="7" fillId="0" borderId="0" xfId="0" applyFont="1"/>
    <xf numFmtId="0" fontId="9"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Revenue Breakdown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model!$B$2</c:f>
              <c:strCache>
                <c:ptCount val="1"/>
                <c:pt idx="0">
                  <c:v>Sales</c:v>
                </c:pt>
              </c:strCache>
            </c:strRef>
          </c:tx>
          <c:spPr>
            <a:solidFill>
              <a:schemeClr val="accent1"/>
            </a:solidFill>
            <a:ln>
              <a:noFill/>
            </a:ln>
            <a:effectLst/>
          </c:spPr>
          <c:invertIfNegative val="0"/>
          <c:cat>
            <c:numRef>
              <c:f>model!$T$1:$AC$1</c:f>
              <c:numCache>
                <c:formatCode>General</c:formatCode>
                <c:ptCount val="10"/>
                <c:pt idx="0">
                  <c:v>2015</c:v>
                </c:pt>
                <c:pt idx="1">
                  <c:v>2016</c:v>
                </c:pt>
                <c:pt idx="2">
                  <c:v>2017</c:v>
                </c:pt>
                <c:pt idx="3">
                  <c:v>2018</c:v>
                </c:pt>
                <c:pt idx="4">
                  <c:v>2019</c:v>
                </c:pt>
                <c:pt idx="5">
                  <c:v>2020</c:v>
                </c:pt>
                <c:pt idx="6">
                  <c:v>2021</c:v>
                </c:pt>
                <c:pt idx="7">
                  <c:v>2022</c:v>
                </c:pt>
                <c:pt idx="8">
                  <c:v>2023</c:v>
                </c:pt>
                <c:pt idx="9">
                  <c:v>2024</c:v>
                </c:pt>
              </c:numCache>
            </c:numRef>
          </c:cat>
          <c:val>
            <c:numRef>
              <c:f>model!$T$2:$AC$2</c:f>
              <c:numCache>
                <c:formatCode>#,##0</c:formatCode>
                <c:ptCount val="10"/>
                <c:pt idx="0">
                  <c:v>2443</c:v>
                </c:pt>
                <c:pt idx="1">
                  <c:v>2699</c:v>
                </c:pt>
                <c:pt idx="2">
                  <c:v>3060.6</c:v>
                </c:pt>
                <c:pt idx="3">
                  <c:v>3554.3</c:v>
                </c:pt>
                <c:pt idx="4">
                  <c:v>4040</c:v>
                </c:pt>
                <c:pt idx="5">
                  <c:v>4598</c:v>
                </c:pt>
                <c:pt idx="6">
                  <c:v>5191</c:v>
                </c:pt>
                <c:pt idx="7">
                  <c:v>5989</c:v>
                </c:pt>
                <c:pt idx="8">
                  <c:v>6831</c:v>
                </c:pt>
                <c:pt idx="9">
                  <c:v>7580</c:v>
                </c:pt>
              </c:numCache>
            </c:numRef>
          </c:val>
          <c:extLst>
            <c:ext xmlns:c16="http://schemas.microsoft.com/office/drawing/2014/chart" uri="{C3380CC4-5D6E-409C-BE32-E72D297353CC}">
              <c16:uniqueId val="{00000000-50E7-4107-8F5E-C79D7AB49039}"/>
            </c:ext>
          </c:extLst>
        </c:ser>
        <c:ser>
          <c:idx val="1"/>
          <c:order val="1"/>
          <c:tx>
            <c:strRef>
              <c:f>model!$B$3</c:f>
              <c:strCache>
                <c:ptCount val="1"/>
                <c:pt idx="0">
                  <c:v>Service</c:v>
                </c:pt>
              </c:strCache>
            </c:strRef>
          </c:tx>
          <c:spPr>
            <a:solidFill>
              <a:schemeClr val="accent2"/>
            </a:solidFill>
            <a:ln>
              <a:noFill/>
            </a:ln>
            <a:effectLst/>
          </c:spPr>
          <c:invertIfNegative val="0"/>
          <c:cat>
            <c:numRef>
              <c:f>model!$T$1:$AC$1</c:f>
              <c:numCache>
                <c:formatCode>General</c:formatCode>
                <c:ptCount val="10"/>
                <c:pt idx="0">
                  <c:v>2015</c:v>
                </c:pt>
                <c:pt idx="1">
                  <c:v>2016</c:v>
                </c:pt>
                <c:pt idx="2">
                  <c:v>2017</c:v>
                </c:pt>
                <c:pt idx="3">
                  <c:v>2018</c:v>
                </c:pt>
                <c:pt idx="4">
                  <c:v>2019</c:v>
                </c:pt>
                <c:pt idx="5">
                  <c:v>2020</c:v>
                </c:pt>
                <c:pt idx="6">
                  <c:v>2021</c:v>
                </c:pt>
                <c:pt idx="7">
                  <c:v>2022</c:v>
                </c:pt>
                <c:pt idx="8">
                  <c:v>2023</c:v>
                </c:pt>
                <c:pt idx="9">
                  <c:v>2024</c:v>
                </c:pt>
              </c:numCache>
            </c:numRef>
          </c:cat>
          <c:val>
            <c:numRef>
              <c:f>model!$T$3:$AC$3</c:f>
              <c:numCache>
                <c:formatCode>#,##0</c:formatCode>
                <c:ptCount val="10"/>
                <c:pt idx="0">
                  <c:v>1320.2</c:v>
                </c:pt>
                <c:pt idx="1">
                  <c:v>1817.8</c:v>
                </c:pt>
                <c:pt idx="2">
                  <c:v>2320.6999999999998</c:v>
                </c:pt>
                <c:pt idx="3">
                  <c:v>2877.1</c:v>
                </c:pt>
                <c:pt idx="4">
                  <c:v>3621</c:v>
                </c:pt>
                <c:pt idx="5">
                  <c:v>4466</c:v>
                </c:pt>
                <c:pt idx="6">
                  <c:v>5377</c:v>
                </c:pt>
                <c:pt idx="7">
                  <c:v>6474</c:v>
                </c:pt>
                <c:pt idx="8">
                  <c:v>7369</c:v>
                </c:pt>
                <c:pt idx="9">
                  <c:v>8245</c:v>
                </c:pt>
              </c:numCache>
            </c:numRef>
          </c:val>
          <c:extLst>
            <c:ext xmlns:c16="http://schemas.microsoft.com/office/drawing/2014/chart" uri="{C3380CC4-5D6E-409C-BE32-E72D297353CC}">
              <c16:uniqueId val="{00000001-50E7-4107-8F5E-C79D7AB49039}"/>
            </c:ext>
          </c:extLst>
        </c:ser>
        <c:ser>
          <c:idx val="2"/>
          <c:order val="2"/>
          <c:tx>
            <c:strRef>
              <c:f>model!$B$4</c:f>
              <c:strCache>
                <c:ptCount val="1"/>
                <c:pt idx="0">
                  <c:v>Platform</c:v>
                </c:pt>
              </c:strCache>
            </c:strRef>
          </c:tx>
          <c:spPr>
            <a:solidFill>
              <a:schemeClr val="accent3"/>
            </a:solidFill>
            <a:ln>
              <a:noFill/>
            </a:ln>
            <a:effectLst/>
          </c:spPr>
          <c:invertIfNegative val="0"/>
          <c:cat>
            <c:numRef>
              <c:f>model!$T$1:$AC$1</c:f>
              <c:numCache>
                <c:formatCode>General</c:formatCode>
                <c:ptCount val="10"/>
                <c:pt idx="0">
                  <c:v>2015</c:v>
                </c:pt>
                <c:pt idx="1">
                  <c:v>2016</c:v>
                </c:pt>
                <c:pt idx="2">
                  <c:v>2017</c:v>
                </c:pt>
                <c:pt idx="3">
                  <c:v>2018</c:v>
                </c:pt>
                <c:pt idx="4">
                  <c:v>2019</c:v>
                </c:pt>
                <c:pt idx="5">
                  <c:v>2020</c:v>
                </c:pt>
                <c:pt idx="6">
                  <c:v>2021</c:v>
                </c:pt>
                <c:pt idx="7">
                  <c:v>2022</c:v>
                </c:pt>
                <c:pt idx="8">
                  <c:v>2023</c:v>
                </c:pt>
                <c:pt idx="9">
                  <c:v>2024</c:v>
                </c:pt>
              </c:numCache>
            </c:numRef>
          </c:cat>
          <c:val>
            <c:numRef>
              <c:f>model!$T$4:$AC$4</c:f>
              <c:numCache>
                <c:formatCode>#,##0</c:formatCode>
                <c:ptCount val="10"/>
                <c:pt idx="0">
                  <c:v>745.3</c:v>
                </c:pt>
                <c:pt idx="1">
                  <c:v>1034.7</c:v>
                </c:pt>
                <c:pt idx="2">
                  <c:v>1441.6</c:v>
                </c:pt>
                <c:pt idx="3">
                  <c:v>1929.2</c:v>
                </c:pt>
                <c:pt idx="4">
                  <c:v>2854</c:v>
                </c:pt>
                <c:pt idx="5">
                  <c:v>4473</c:v>
                </c:pt>
                <c:pt idx="6">
                  <c:v>3324</c:v>
                </c:pt>
                <c:pt idx="7">
                  <c:v>4509</c:v>
                </c:pt>
                <c:pt idx="8">
                  <c:v>5967</c:v>
                </c:pt>
                <c:pt idx="9">
                  <c:v>6611</c:v>
                </c:pt>
              </c:numCache>
            </c:numRef>
          </c:val>
          <c:extLst>
            <c:ext xmlns:c16="http://schemas.microsoft.com/office/drawing/2014/chart" uri="{C3380CC4-5D6E-409C-BE32-E72D297353CC}">
              <c16:uniqueId val="{00000002-50E7-4107-8F5E-C79D7AB49039}"/>
            </c:ext>
          </c:extLst>
        </c:ser>
        <c:ser>
          <c:idx val="3"/>
          <c:order val="3"/>
          <c:tx>
            <c:strRef>
              <c:f>model!$B$5</c:f>
              <c:strCache>
                <c:ptCount val="1"/>
                <c:pt idx="0">
                  <c:v>Marketing &amp; Commerce</c:v>
                </c:pt>
              </c:strCache>
            </c:strRef>
          </c:tx>
          <c:spPr>
            <a:solidFill>
              <a:schemeClr val="accent4"/>
            </a:solidFill>
            <a:ln>
              <a:noFill/>
            </a:ln>
            <a:effectLst/>
          </c:spPr>
          <c:invertIfNegative val="0"/>
          <c:cat>
            <c:numRef>
              <c:f>model!$T$1:$AC$1</c:f>
              <c:numCache>
                <c:formatCode>General</c:formatCode>
                <c:ptCount val="10"/>
                <c:pt idx="0">
                  <c:v>2015</c:v>
                </c:pt>
                <c:pt idx="1">
                  <c:v>2016</c:v>
                </c:pt>
                <c:pt idx="2">
                  <c:v>2017</c:v>
                </c:pt>
                <c:pt idx="3">
                  <c:v>2018</c:v>
                </c:pt>
                <c:pt idx="4">
                  <c:v>2019</c:v>
                </c:pt>
                <c:pt idx="5">
                  <c:v>2020</c:v>
                </c:pt>
                <c:pt idx="6">
                  <c:v>2021</c:v>
                </c:pt>
                <c:pt idx="7">
                  <c:v>2022</c:v>
                </c:pt>
                <c:pt idx="8">
                  <c:v>2023</c:v>
                </c:pt>
                <c:pt idx="9">
                  <c:v>2024</c:v>
                </c:pt>
              </c:numCache>
            </c:numRef>
          </c:cat>
          <c:val>
            <c:numRef>
              <c:f>model!$T$5:$AC$5</c:f>
              <c:numCache>
                <c:formatCode>#,##0</c:formatCode>
                <c:ptCount val="10"/>
                <c:pt idx="0">
                  <c:v>505.3</c:v>
                </c:pt>
                <c:pt idx="1">
                  <c:v>654.1</c:v>
                </c:pt>
                <c:pt idx="2">
                  <c:v>933.3</c:v>
                </c:pt>
                <c:pt idx="3">
                  <c:v>1349.9</c:v>
                </c:pt>
                <c:pt idx="4">
                  <c:v>1898</c:v>
                </c:pt>
                <c:pt idx="5">
                  <c:v>2506</c:v>
                </c:pt>
                <c:pt idx="6">
                  <c:v>3133</c:v>
                </c:pt>
                <c:pt idx="7">
                  <c:v>3902</c:v>
                </c:pt>
                <c:pt idx="8">
                  <c:v>4516</c:v>
                </c:pt>
                <c:pt idx="9">
                  <c:v>4912</c:v>
                </c:pt>
              </c:numCache>
            </c:numRef>
          </c:val>
          <c:extLst>
            <c:ext xmlns:c16="http://schemas.microsoft.com/office/drawing/2014/chart" uri="{C3380CC4-5D6E-409C-BE32-E72D297353CC}">
              <c16:uniqueId val="{00000003-50E7-4107-8F5E-C79D7AB49039}"/>
            </c:ext>
          </c:extLst>
        </c:ser>
        <c:ser>
          <c:idx val="4"/>
          <c:order val="4"/>
          <c:tx>
            <c:strRef>
              <c:f>model!$B$6</c:f>
              <c:strCache>
                <c:ptCount val="1"/>
                <c:pt idx="0">
                  <c:v>Integration &amp; Analytics</c:v>
                </c:pt>
              </c:strCache>
            </c:strRef>
          </c:tx>
          <c:spPr>
            <a:solidFill>
              <a:schemeClr val="accent5"/>
            </a:solidFill>
            <a:ln>
              <a:noFill/>
            </a:ln>
            <a:effectLst/>
          </c:spPr>
          <c:invertIfNegative val="0"/>
          <c:cat>
            <c:numRef>
              <c:f>model!$T$1:$AC$1</c:f>
              <c:numCache>
                <c:formatCode>General</c:formatCode>
                <c:ptCount val="10"/>
                <c:pt idx="0">
                  <c:v>2015</c:v>
                </c:pt>
                <c:pt idx="1">
                  <c:v>2016</c:v>
                </c:pt>
                <c:pt idx="2">
                  <c:v>2017</c:v>
                </c:pt>
                <c:pt idx="3">
                  <c:v>2018</c:v>
                </c:pt>
                <c:pt idx="4">
                  <c:v>2019</c:v>
                </c:pt>
                <c:pt idx="5">
                  <c:v>2020</c:v>
                </c:pt>
                <c:pt idx="6">
                  <c:v>2021</c:v>
                </c:pt>
                <c:pt idx="7">
                  <c:v>2022</c:v>
                </c:pt>
                <c:pt idx="8">
                  <c:v>2023</c:v>
                </c:pt>
                <c:pt idx="9">
                  <c:v>2024</c:v>
                </c:pt>
              </c:numCache>
            </c:numRef>
          </c:cat>
          <c:val>
            <c:numRef>
              <c:f>model!$T$6:$AC$6</c:f>
              <c:numCache>
                <c:formatCode>#,##0</c:formatCode>
                <c:ptCount val="10"/>
                <c:pt idx="6">
                  <c:v>2951</c:v>
                </c:pt>
                <c:pt idx="7">
                  <c:v>3783</c:v>
                </c:pt>
                <c:pt idx="8">
                  <c:v>4338</c:v>
                </c:pt>
                <c:pt idx="9">
                  <c:v>5189</c:v>
                </c:pt>
              </c:numCache>
            </c:numRef>
          </c:val>
          <c:extLst>
            <c:ext xmlns:c16="http://schemas.microsoft.com/office/drawing/2014/chart" uri="{C3380CC4-5D6E-409C-BE32-E72D297353CC}">
              <c16:uniqueId val="{00000004-50E7-4107-8F5E-C79D7AB49039}"/>
            </c:ext>
          </c:extLst>
        </c:ser>
        <c:dLbls>
          <c:showLegendKey val="0"/>
          <c:showVal val="0"/>
          <c:showCatName val="0"/>
          <c:showSerName val="0"/>
          <c:showPercent val="0"/>
          <c:showBubbleSize val="0"/>
        </c:dLbls>
        <c:gapWidth val="150"/>
        <c:overlap val="100"/>
        <c:axId val="60408927"/>
        <c:axId val="60410367"/>
      </c:barChart>
      <c:catAx>
        <c:axId val="604089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10367"/>
        <c:crosses val="autoZero"/>
        <c:auto val="1"/>
        <c:lblAlgn val="ctr"/>
        <c:lblOffset val="100"/>
        <c:noMultiLvlLbl val="0"/>
      </c:catAx>
      <c:valAx>
        <c:axId val="60410367"/>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089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600074</xdr:colOff>
      <xdr:row>0</xdr:row>
      <xdr:rowOff>152399</xdr:rowOff>
    </xdr:from>
    <xdr:to>
      <xdr:col>20</xdr:col>
      <xdr:colOff>95249</xdr:colOff>
      <xdr:row>20</xdr:row>
      <xdr:rowOff>95249</xdr:rowOff>
    </xdr:to>
    <xdr:graphicFrame macro="">
      <xdr:nvGraphicFramePr>
        <xdr:cNvPr id="2" name="Chart 1">
          <a:extLst>
            <a:ext uri="{FF2B5EF4-FFF2-40B4-BE49-F238E27FC236}">
              <a16:creationId xmlns:a16="http://schemas.microsoft.com/office/drawing/2014/main" id="{4CDCF17F-9765-424E-8624-290755C04C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30</xdr:col>
      <xdr:colOff>0</xdr:colOff>
      <xdr:row>0</xdr:row>
      <xdr:rowOff>0</xdr:rowOff>
    </xdr:from>
    <xdr:to>
      <xdr:col>30</xdr:col>
      <xdr:colOff>28575</xdr:colOff>
      <xdr:row>106</xdr:row>
      <xdr:rowOff>11430</xdr:rowOff>
    </xdr:to>
    <xdr:cxnSp macro="">
      <xdr:nvCxnSpPr>
        <xdr:cNvPr id="3" name="Straight Connector 2">
          <a:extLst>
            <a:ext uri="{FF2B5EF4-FFF2-40B4-BE49-F238E27FC236}">
              <a16:creationId xmlns:a16="http://schemas.microsoft.com/office/drawing/2014/main" id="{C800ECE9-0671-011F-8CEC-0116DF5E3FEA}"/>
            </a:ext>
          </a:extLst>
        </xdr:cNvPr>
        <xdr:cNvCxnSpPr/>
      </xdr:nvCxnSpPr>
      <xdr:spPr>
        <a:xfrm>
          <a:off x="20703540" y="0"/>
          <a:ext cx="28575" cy="1744599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10</xdr:col>
      <xdr:colOff>8163</xdr:colOff>
      <xdr:row>0</xdr:row>
      <xdr:rowOff>0</xdr:rowOff>
    </xdr:from>
    <xdr:to>
      <xdr:col>10</xdr:col>
      <xdr:colOff>32657</xdr:colOff>
      <xdr:row>128</xdr:row>
      <xdr:rowOff>43543</xdr:rowOff>
    </xdr:to>
    <xdr:cxnSp macro="">
      <xdr:nvCxnSpPr>
        <xdr:cNvPr id="4" name="Straight Connector 3">
          <a:extLst>
            <a:ext uri="{FF2B5EF4-FFF2-40B4-BE49-F238E27FC236}">
              <a16:creationId xmlns:a16="http://schemas.microsoft.com/office/drawing/2014/main" id="{1E36CA3D-CC48-FFD7-C6C1-53FFAEE19BA2}"/>
            </a:ext>
          </a:extLst>
        </xdr:cNvPr>
        <xdr:cNvCxnSpPr/>
      </xdr:nvCxnSpPr>
      <xdr:spPr>
        <a:xfrm>
          <a:off x="8063592" y="0"/>
          <a:ext cx="24494" cy="20780829"/>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https://www.bing.com/financeapi/forcetrigger?t=a1qc1h&amp;q=XNYS%3aCRM&amp;form=skydnc</v>
    <v>Learn more on Bing</v>
  </rv>
  <rv s="1">
    <v>en-GB</v>
    <v>a1qc1h</v>
    <v>268435456</v>
    <v>1</v>
    <v>Powered by Refinitiv</v>
    <v>0</v>
    <v>SALESFORCE, INC. (XNYS:CRM)</v>
    <v>2</v>
    <v>3</v>
    <v>Finance</v>
    <v>4</v>
    <v>369</v>
    <v>212</v>
    <v>1.4007000000000001</v>
    <v>-9.6340000000000003</v>
    <v>-3.6387999999999997E-2</v>
    <v>USD</v>
    <v>Salesforce, Inc. is a provider of customer relationship management (CRM) technology. The Company helps organizations of any size reimagine their business for the world of artificial intelligence (AI). With Agentforce, its platform, organizations can bring humans together with agents to drive customer success powered by AI, data, and action. With the Salesforce platform, the Company delivers a single source of truth, connecting customer data with integrated AI across systems, apps and devices to help companies sell, service, market and conduct commerce from anywhere. Agentforce is a new layer of the Salesforce platform that enables companies to build and deploy AI agents that can respond to inputs, make decisions and take action autonomously across business functions. Agentforce includes a suite of customizable agents for use across sales, service, marketing and commerce. AgentExchange is the marketplace and community for Agentforce. AgentExchange includes more than 200 partners.</v>
    <v>76453</v>
    <v>New York Stock Exchange</v>
    <v>XNYS</v>
    <v>XNYS</v>
    <v>SALESFORCE TOWER, 415 MISSION STREET 3RD FL, SAN FRANCISCO, CA, 94105 US</v>
    <v>261.24</v>
    <v>Software &amp; IT Services</v>
    <v>Stock</v>
    <v>45757.999636608591</v>
    <v>0</v>
    <v>248.13</v>
    <v>254828400000</v>
    <v>SALESFORCE, INC.</v>
    <v>SALESFORCE, INC.</v>
    <v>260</v>
    <v>40.072899999999997</v>
    <v>264.75400000000002</v>
    <v>255.12</v>
    <v>961000000</v>
    <v>CRM</v>
    <v>SALESFORCE, INC. (XNYS:CRM)</v>
    <v>16497</v>
    <v>7439003</v>
    <v>1999</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30E72-74A8-4D4D-9C47-01E78E4B9B42}">
  <dimension ref="A1:E18"/>
  <sheetViews>
    <sheetView showGridLines="0" zoomScale="85" zoomScaleNormal="85" workbookViewId="0">
      <selection activeCell="C5" sqref="C5"/>
    </sheetView>
  </sheetViews>
  <sheetFormatPr defaultColWidth="9.109375" defaultRowHeight="13.2" x14ac:dyDescent="0.25"/>
  <cols>
    <col min="1" max="1" width="9.109375" style="1"/>
    <col min="2" max="2" width="31.77734375" style="1" bestFit="1" customWidth="1"/>
    <col min="3" max="3" width="9.109375" style="1"/>
    <col min="4" max="4" width="10.88671875" style="1" bestFit="1" customWidth="1"/>
    <col min="5" max="16384" width="9.109375" style="1"/>
  </cols>
  <sheetData>
    <row r="1" spans="1:5" x14ac:dyDescent="0.25">
      <c r="A1" s="1" t="s">
        <v>0</v>
      </c>
      <c r="B1" s="9" t="e" vm="1">
        <v>#VALUE!</v>
      </c>
      <c r="D1" s="2" t="s">
        <v>104</v>
      </c>
      <c r="E1" s="11">
        <v>1999</v>
      </c>
    </row>
    <row r="2" spans="1:5" x14ac:dyDescent="0.25">
      <c r="A2" s="1" t="s">
        <v>1</v>
      </c>
      <c r="B2" s="13" cm="1">
        <f t="array" aca="1" ref="B2" ca="1">+_FV(B1,"Price")</f>
        <v>255.12</v>
      </c>
      <c r="D2" s="2" t="s">
        <v>105</v>
      </c>
      <c r="E2" s="11" t="s">
        <v>110</v>
      </c>
    </row>
    <row r="3" spans="1:5" x14ac:dyDescent="0.25">
      <c r="A3" s="1" t="s">
        <v>2</v>
      </c>
      <c r="B3" s="9">
        <v>956</v>
      </c>
      <c r="D3" s="2" t="s">
        <v>106</v>
      </c>
      <c r="E3" s="11" t="s">
        <v>123</v>
      </c>
    </row>
    <row r="4" spans="1:5" x14ac:dyDescent="0.25">
      <c r="A4" s="1" t="s">
        <v>3</v>
      </c>
      <c r="B4" s="10">
        <f ca="1">+B2*B3</f>
        <v>243894.72</v>
      </c>
      <c r="D4" s="2" t="s">
        <v>107</v>
      </c>
      <c r="E4" s="11" t="s">
        <v>111</v>
      </c>
    </row>
    <row r="5" spans="1:5" x14ac:dyDescent="0.25">
      <c r="A5" s="1" t="s">
        <v>4</v>
      </c>
      <c r="B5" s="10">
        <f>+model!AD42+model!AD43+model!AD50</f>
        <v>18884</v>
      </c>
      <c r="C5" s="1" t="s">
        <v>17</v>
      </c>
      <c r="D5" s="2" t="s">
        <v>108</v>
      </c>
      <c r="E5" s="11" t="s">
        <v>124</v>
      </c>
    </row>
    <row r="6" spans="1:5" x14ac:dyDescent="0.25">
      <c r="A6" s="1" t="s">
        <v>5</v>
      </c>
      <c r="B6" s="10">
        <f>+model!AD59+model!AD60</f>
        <v>8433</v>
      </c>
      <c r="C6" s="1" t="s">
        <v>17</v>
      </c>
      <c r="D6" s="2" t="s">
        <v>109</v>
      </c>
      <c r="E6" s="11" t="s">
        <v>112</v>
      </c>
    </row>
    <row r="7" spans="1:5" x14ac:dyDescent="0.25">
      <c r="A7" s="1" t="s">
        <v>6</v>
      </c>
      <c r="B7" s="10">
        <f ca="1">B4-B5+B6</f>
        <v>233443.72</v>
      </c>
      <c r="D7" s="2" t="s">
        <v>113</v>
      </c>
      <c r="E7" s="11" t="s">
        <v>114</v>
      </c>
    </row>
    <row r="9" spans="1:5" x14ac:dyDescent="0.25">
      <c r="A9" s="2" t="s">
        <v>115</v>
      </c>
    </row>
    <row r="10" spans="1:5" x14ac:dyDescent="0.25">
      <c r="A10" s="1" t="s">
        <v>116</v>
      </c>
    </row>
    <row r="11" spans="1:5" x14ac:dyDescent="0.25">
      <c r="A11" s="1" t="s">
        <v>117</v>
      </c>
    </row>
    <row r="12" spans="1:5" x14ac:dyDescent="0.25">
      <c r="A12" s="1" t="s">
        <v>118</v>
      </c>
    </row>
    <row r="13" spans="1:5" x14ac:dyDescent="0.25">
      <c r="A13" s="1" t="s">
        <v>119</v>
      </c>
    </row>
    <row r="15" spans="1:5" x14ac:dyDescent="0.25">
      <c r="A15" s="2" t="s">
        <v>120</v>
      </c>
    </row>
    <row r="16" spans="1:5" x14ac:dyDescent="0.25">
      <c r="A16" s="1" t="s">
        <v>112</v>
      </c>
    </row>
    <row r="17" spans="1:1" x14ac:dyDescent="0.25">
      <c r="A17" s="1" t="s">
        <v>122</v>
      </c>
    </row>
    <row r="18" spans="1:1" x14ac:dyDescent="0.25">
      <c r="A18" s="1" t="s">
        <v>121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B00AB6-AC4D-4761-93D9-3089D9F17FF7}">
  <dimension ref="A1:BT111"/>
  <sheetViews>
    <sheetView tabSelected="1" zoomScaleNormal="100" workbookViewId="0">
      <pane xSplit="2" ySplit="1" topLeftCell="H2" activePane="bottomRight" state="frozen"/>
      <selection pane="topRight" activeCell="B1" sqref="B1"/>
      <selection pane="bottomLeft" activeCell="A2" sqref="A2"/>
      <selection pane="bottomRight" activeCell="Q10" sqref="Q10"/>
    </sheetView>
  </sheetViews>
  <sheetFormatPr defaultColWidth="9.109375" defaultRowHeight="13.2" x14ac:dyDescent="0.25"/>
  <cols>
    <col min="1" max="1" width="5.5546875" style="1" bestFit="1" customWidth="1"/>
    <col min="2" max="2" width="37" style="1" bestFit="1" customWidth="1"/>
    <col min="3" max="10" width="9.33203125" style="1" bestFit="1" customWidth="1"/>
    <col min="11" max="19" width="9.109375" style="1"/>
    <col min="20" max="37" width="9.33203125" style="1" bestFit="1" customWidth="1"/>
    <col min="38" max="38" width="13.88671875" style="1" bestFit="1" customWidth="1"/>
    <col min="39" max="39" width="13.109375" style="1" bestFit="1" customWidth="1"/>
    <col min="40" max="72" width="9.33203125" style="1" bestFit="1" customWidth="1"/>
    <col min="73" max="16384" width="9.109375" style="1"/>
  </cols>
  <sheetData>
    <row r="1" spans="1:52" x14ac:dyDescent="0.25">
      <c r="A1" s="12" t="s">
        <v>51</v>
      </c>
      <c r="C1" s="2" t="s">
        <v>10</v>
      </c>
      <c r="D1" s="2" t="s">
        <v>11</v>
      </c>
      <c r="E1" s="2" t="s">
        <v>12</v>
      </c>
      <c r="F1" s="2" t="s">
        <v>13</v>
      </c>
      <c r="G1" s="2" t="s">
        <v>14</v>
      </c>
      <c r="H1" s="2" t="s">
        <v>15</v>
      </c>
      <c r="I1" s="2" t="s">
        <v>16</v>
      </c>
      <c r="J1" s="2" t="s">
        <v>17</v>
      </c>
      <c r="M1" s="2">
        <f t="shared" ref="M1:R1" si="0">+N1-1</f>
        <v>2008</v>
      </c>
      <c r="N1" s="2">
        <f t="shared" si="0"/>
        <v>2009</v>
      </c>
      <c r="O1" s="2">
        <f t="shared" si="0"/>
        <v>2010</v>
      </c>
      <c r="P1" s="2">
        <f t="shared" si="0"/>
        <v>2011</v>
      </c>
      <c r="Q1" s="2">
        <f t="shared" si="0"/>
        <v>2012</v>
      </c>
      <c r="R1" s="2">
        <f t="shared" si="0"/>
        <v>2013</v>
      </c>
      <c r="S1" s="2">
        <f>+T1-1</f>
        <v>2014</v>
      </c>
      <c r="T1" s="2">
        <v>2015</v>
      </c>
      <c r="U1" s="2">
        <v>2016</v>
      </c>
      <c r="V1" s="2">
        <v>2017</v>
      </c>
      <c r="W1" s="2">
        <v>2018</v>
      </c>
      <c r="X1" s="2">
        <v>2019</v>
      </c>
      <c r="Y1" s="2">
        <v>2020</v>
      </c>
      <c r="Z1" s="2">
        <v>2021</v>
      </c>
      <c r="AA1" s="2">
        <v>2022</v>
      </c>
      <c r="AB1" s="2">
        <f>+AA1+1</f>
        <v>2023</v>
      </c>
      <c r="AC1" s="2">
        <f t="shared" ref="AC1:AI1" si="1">+AB1+1</f>
        <v>2024</v>
      </c>
      <c r="AD1" s="2">
        <f t="shared" si="1"/>
        <v>2025</v>
      </c>
      <c r="AE1" s="2">
        <f t="shared" si="1"/>
        <v>2026</v>
      </c>
      <c r="AF1" s="2">
        <f t="shared" si="1"/>
        <v>2027</v>
      </c>
      <c r="AG1" s="2">
        <f t="shared" si="1"/>
        <v>2028</v>
      </c>
      <c r="AH1" s="2">
        <f t="shared" si="1"/>
        <v>2029</v>
      </c>
      <c r="AI1" s="2">
        <f t="shared" si="1"/>
        <v>2030</v>
      </c>
      <c r="AJ1" s="2">
        <v>2031</v>
      </c>
    </row>
    <row r="2" spans="1:52" x14ac:dyDescent="0.25">
      <c r="B2" s="1" t="s">
        <v>40</v>
      </c>
      <c r="C2" s="4">
        <v>1810</v>
      </c>
      <c r="D2" s="4">
        <v>1895</v>
      </c>
      <c r="E2" s="4">
        <v>1906</v>
      </c>
      <c r="F2" s="4">
        <v>1969</v>
      </c>
      <c r="G2" s="4">
        <v>1998</v>
      </c>
      <c r="H2" s="4">
        <v>2071</v>
      </c>
      <c r="I2" s="4">
        <v>2119</v>
      </c>
      <c r="J2" s="4">
        <v>2134</v>
      </c>
      <c r="K2" s="4"/>
      <c r="L2" s="4"/>
      <c r="M2" s="4"/>
      <c r="N2" s="2"/>
      <c r="O2" s="4"/>
      <c r="P2" s="4"/>
      <c r="Q2" s="4"/>
      <c r="R2" s="4"/>
      <c r="S2" s="4"/>
      <c r="T2" s="4">
        <v>2443</v>
      </c>
      <c r="U2" s="4">
        <v>2699</v>
      </c>
      <c r="V2" s="4">
        <v>3060.6</v>
      </c>
      <c r="W2" s="4">
        <v>3554.3</v>
      </c>
      <c r="X2" s="4">
        <v>4040</v>
      </c>
      <c r="Y2" s="4">
        <v>4598</v>
      </c>
      <c r="Z2" s="4">
        <v>5191</v>
      </c>
      <c r="AA2" s="4">
        <v>5989</v>
      </c>
      <c r="AB2" s="4">
        <v>6831</v>
      </c>
      <c r="AC2" s="4">
        <v>7580</v>
      </c>
      <c r="AD2" s="4">
        <f>+SUM(G2:J2)</f>
        <v>8322</v>
      </c>
      <c r="AE2" s="4">
        <f>+AD2*1.08</f>
        <v>8987.76</v>
      </c>
      <c r="AF2" s="4">
        <f t="shared" ref="AF2:AJ2" si="2">+AE2*1.08</f>
        <v>9706.7808000000005</v>
      </c>
      <c r="AG2" s="4">
        <f t="shared" si="2"/>
        <v>10483.323264000001</v>
      </c>
      <c r="AH2" s="4">
        <f t="shared" si="2"/>
        <v>11321.989125120001</v>
      </c>
      <c r="AI2" s="4">
        <f t="shared" si="2"/>
        <v>12227.748255129602</v>
      </c>
      <c r="AJ2" s="4">
        <f t="shared" si="2"/>
        <v>13205.96811553997</v>
      </c>
    </row>
    <row r="3" spans="1:52" x14ac:dyDescent="0.25">
      <c r="B3" s="1" t="s">
        <v>41</v>
      </c>
      <c r="C3" s="4">
        <v>1964</v>
      </c>
      <c r="D3" s="4">
        <v>2049</v>
      </c>
      <c r="E3" s="4">
        <v>2074</v>
      </c>
      <c r="F3" s="4">
        <v>2158</v>
      </c>
      <c r="G3" s="4">
        <v>2182</v>
      </c>
      <c r="H3" s="4">
        <v>2257</v>
      </c>
      <c r="I3" s="4">
        <v>2288</v>
      </c>
      <c r="J3" s="4">
        <v>2327</v>
      </c>
      <c r="K3" s="4"/>
      <c r="L3" s="4"/>
      <c r="M3" s="4"/>
      <c r="N3" s="4"/>
      <c r="O3" s="4"/>
      <c r="P3" s="4"/>
      <c r="Q3" s="4"/>
      <c r="R3" s="4"/>
      <c r="S3" s="4"/>
      <c r="T3" s="4">
        <v>1320.2</v>
      </c>
      <c r="U3" s="4">
        <v>1817.8</v>
      </c>
      <c r="V3" s="4">
        <v>2320.6999999999998</v>
      </c>
      <c r="W3" s="4">
        <v>2877.1</v>
      </c>
      <c r="X3" s="4">
        <v>3621</v>
      </c>
      <c r="Y3" s="4">
        <v>4466</v>
      </c>
      <c r="Z3" s="4">
        <v>5377</v>
      </c>
      <c r="AA3" s="4">
        <v>6474</v>
      </c>
      <c r="AB3" s="4">
        <v>7369</v>
      </c>
      <c r="AC3" s="4">
        <v>8245</v>
      </c>
      <c r="AD3" s="4">
        <f t="shared" ref="AD3:AD6" si="3">+SUM(G3:J3)</f>
        <v>9054</v>
      </c>
      <c r="AE3" s="4">
        <f t="shared" ref="AE3:AJ3" si="4">+AD3*1.08</f>
        <v>9778.3200000000015</v>
      </c>
      <c r="AF3" s="4">
        <f t="shared" si="4"/>
        <v>10560.585600000002</v>
      </c>
      <c r="AG3" s="4">
        <f t="shared" si="4"/>
        <v>11405.432448000003</v>
      </c>
      <c r="AH3" s="4">
        <f t="shared" si="4"/>
        <v>12317.867043840004</v>
      </c>
      <c r="AI3" s="4">
        <f t="shared" si="4"/>
        <v>13303.296407347205</v>
      </c>
      <c r="AJ3" s="4">
        <f t="shared" si="4"/>
        <v>14367.560119934982</v>
      </c>
    </row>
    <row r="4" spans="1:52" x14ac:dyDescent="0.25">
      <c r="B4" s="1" t="s">
        <v>42</v>
      </c>
      <c r="C4" s="4">
        <v>1567</v>
      </c>
      <c r="D4" s="4">
        <v>1638</v>
      </c>
      <c r="E4" s="4">
        <v>1686</v>
      </c>
      <c r="F4" s="4">
        <v>1720</v>
      </c>
      <c r="G4" s="4">
        <v>1718</v>
      </c>
      <c r="H4" s="4">
        <v>1786</v>
      </c>
      <c r="I4" s="4">
        <v>1825</v>
      </c>
      <c r="J4" s="4">
        <v>1918</v>
      </c>
      <c r="K4" s="4"/>
      <c r="L4" s="4"/>
      <c r="M4" s="4"/>
      <c r="N4" s="4"/>
      <c r="O4" s="4"/>
      <c r="P4" s="4"/>
      <c r="Q4" s="4"/>
      <c r="R4" s="4"/>
      <c r="S4" s="4"/>
      <c r="T4" s="4">
        <v>745.3</v>
      </c>
      <c r="U4" s="4">
        <v>1034.7</v>
      </c>
      <c r="V4" s="4">
        <v>1441.6</v>
      </c>
      <c r="W4" s="4">
        <v>1929.2</v>
      </c>
      <c r="X4" s="4">
        <v>2854</v>
      </c>
      <c r="Y4" s="4">
        <v>4473</v>
      </c>
      <c r="Z4" s="4">
        <v>3324</v>
      </c>
      <c r="AA4" s="4">
        <v>4509</v>
      </c>
      <c r="AB4" s="4">
        <v>5967</v>
      </c>
      <c r="AC4" s="4">
        <v>6611</v>
      </c>
      <c r="AD4" s="4">
        <f t="shared" si="3"/>
        <v>7247</v>
      </c>
      <c r="AE4" s="4">
        <f t="shared" ref="AE4:AJ4" si="5">+AD4*1.09</f>
        <v>7899.2300000000005</v>
      </c>
      <c r="AF4" s="4">
        <f t="shared" si="5"/>
        <v>8610.1607000000004</v>
      </c>
      <c r="AG4" s="4">
        <f t="shared" si="5"/>
        <v>9385.0751630000013</v>
      </c>
      <c r="AH4" s="4">
        <f t="shared" si="5"/>
        <v>10229.731927670002</v>
      </c>
      <c r="AI4" s="4">
        <f t="shared" si="5"/>
        <v>11150.407801160303</v>
      </c>
      <c r="AJ4" s="4">
        <f t="shared" si="5"/>
        <v>12153.944503264731</v>
      </c>
    </row>
    <row r="5" spans="1:52" x14ac:dyDescent="0.25">
      <c r="B5" s="1" t="s">
        <v>43</v>
      </c>
      <c r="C5" s="4">
        <v>1170</v>
      </c>
      <c r="D5" s="4">
        <v>1238</v>
      </c>
      <c r="E5" s="4">
        <v>1230</v>
      </c>
      <c r="F5" s="4">
        <v>1274</v>
      </c>
      <c r="G5" s="4">
        <v>1282</v>
      </c>
      <c r="H5" s="4">
        <v>1308</v>
      </c>
      <c r="I5" s="4">
        <v>1334</v>
      </c>
      <c r="J5" s="4">
        <v>1357</v>
      </c>
      <c r="K5" s="4"/>
      <c r="L5" s="4"/>
      <c r="M5" s="4"/>
      <c r="N5" s="4"/>
      <c r="O5" s="4"/>
      <c r="P5" s="4"/>
      <c r="Q5" s="4"/>
      <c r="R5" s="4"/>
      <c r="S5" s="4"/>
      <c r="T5" s="4">
        <v>505.3</v>
      </c>
      <c r="U5" s="4">
        <v>654.1</v>
      </c>
      <c r="V5" s="4">
        <v>933.3</v>
      </c>
      <c r="W5" s="4">
        <v>1349.9</v>
      </c>
      <c r="X5" s="4">
        <v>1898</v>
      </c>
      <c r="Y5" s="4">
        <v>2506</v>
      </c>
      <c r="Z5" s="4">
        <v>3133</v>
      </c>
      <c r="AA5" s="4">
        <v>3902</v>
      </c>
      <c r="AB5" s="4">
        <v>4516</v>
      </c>
      <c r="AC5" s="4">
        <v>4912</v>
      </c>
      <c r="AD5" s="4">
        <f t="shared" si="3"/>
        <v>5281</v>
      </c>
      <c r="AE5" s="4">
        <f>+AD5*1.07</f>
        <v>5650.67</v>
      </c>
      <c r="AF5" s="4">
        <f t="shared" ref="AF5:AJ5" si="6">+AE5*1.07</f>
        <v>6046.2169000000004</v>
      </c>
      <c r="AG5" s="4">
        <f t="shared" si="6"/>
        <v>6469.452083000001</v>
      </c>
      <c r="AH5" s="4">
        <f t="shared" si="6"/>
        <v>6922.3137288100015</v>
      </c>
      <c r="AI5" s="4">
        <f t="shared" si="6"/>
        <v>7406.875689826702</v>
      </c>
      <c r="AJ5" s="4">
        <f t="shared" si="6"/>
        <v>7925.3569881145713</v>
      </c>
    </row>
    <row r="6" spans="1:52" x14ac:dyDescent="0.25">
      <c r="B6" s="1" t="s">
        <v>44</v>
      </c>
      <c r="C6" s="4">
        <v>1131</v>
      </c>
      <c r="D6" s="4">
        <v>1186</v>
      </c>
      <c r="E6" s="4">
        <v>1245</v>
      </c>
      <c r="F6" s="4">
        <v>1627</v>
      </c>
      <c r="G6" s="4">
        <v>1405</v>
      </c>
      <c r="H6" s="4">
        <v>1342</v>
      </c>
      <c r="I6" s="4">
        <v>1313</v>
      </c>
      <c r="J6" s="4">
        <v>1715</v>
      </c>
      <c r="K6" s="4"/>
      <c r="L6" s="4"/>
      <c r="M6" s="4"/>
      <c r="N6" s="4"/>
      <c r="O6" s="4"/>
      <c r="P6" s="4"/>
      <c r="Q6" s="4"/>
      <c r="R6" s="4"/>
      <c r="S6" s="4"/>
      <c r="T6" s="4"/>
      <c r="U6" s="4"/>
      <c r="V6" s="4"/>
      <c r="W6" s="4"/>
      <c r="X6" s="4"/>
      <c r="Y6" s="4"/>
      <c r="Z6" s="4">
        <v>2951</v>
      </c>
      <c r="AA6" s="4">
        <v>3783</v>
      </c>
      <c r="AB6" s="4">
        <v>4338</v>
      </c>
      <c r="AC6" s="4">
        <v>5189</v>
      </c>
      <c r="AD6" s="4">
        <f t="shared" si="3"/>
        <v>5775</v>
      </c>
      <c r="AE6" s="4">
        <f>+AD6*1.1</f>
        <v>6352.5000000000009</v>
      </c>
      <c r="AF6" s="4">
        <f t="shared" ref="AF6:AJ6" si="7">+AE6*1.1</f>
        <v>6987.7500000000018</v>
      </c>
      <c r="AG6" s="4">
        <f t="shared" si="7"/>
        <v>7686.5250000000024</v>
      </c>
      <c r="AH6" s="4">
        <f t="shared" si="7"/>
        <v>8455.1775000000034</v>
      </c>
      <c r="AI6" s="4">
        <f t="shared" si="7"/>
        <v>9300.6952500000043</v>
      </c>
      <c r="AJ6" s="4">
        <f t="shared" si="7"/>
        <v>10230.764775000005</v>
      </c>
    </row>
    <row r="7" spans="1:52" x14ac:dyDescent="0.25">
      <c r="C7" s="3"/>
      <c r="D7" s="3"/>
      <c r="E7" s="3"/>
      <c r="F7" s="3"/>
      <c r="G7" s="3"/>
      <c r="H7" s="3"/>
      <c r="I7" s="3"/>
      <c r="J7" s="3"/>
      <c r="K7" s="4"/>
      <c r="L7" s="4"/>
      <c r="M7" s="4"/>
      <c r="N7" s="4"/>
      <c r="O7" s="4"/>
      <c r="P7" s="4"/>
      <c r="Q7" s="4"/>
      <c r="R7" s="4"/>
      <c r="S7" s="4"/>
      <c r="T7" s="3"/>
      <c r="U7" s="3"/>
      <c r="V7" s="3"/>
      <c r="W7" s="3"/>
      <c r="X7" s="3"/>
      <c r="Y7" s="3"/>
      <c r="Z7" s="3"/>
      <c r="AA7" s="3"/>
      <c r="AB7" s="3"/>
      <c r="AC7" s="3"/>
      <c r="AD7" s="3"/>
      <c r="AE7" s="3"/>
      <c r="AF7" s="3"/>
      <c r="AG7" s="3"/>
      <c r="AH7" s="3"/>
      <c r="AI7" s="3"/>
      <c r="AJ7" s="4"/>
    </row>
    <row r="8" spans="1:52" x14ac:dyDescent="0.25">
      <c r="C8" s="3"/>
      <c r="D8" s="3"/>
      <c r="E8" s="3"/>
      <c r="F8" s="3"/>
      <c r="G8" s="3"/>
      <c r="H8" s="3"/>
      <c r="I8" s="3"/>
      <c r="J8" s="3"/>
      <c r="K8" s="4"/>
      <c r="L8" s="4"/>
      <c r="M8" s="4"/>
      <c r="N8" s="4"/>
      <c r="O8" s="4"/>
      <c r="P8" s="4"/>
      <c r="Q8" s="4"/>
      <c r="R8" s="4"/>
      <c r="S8" s="4"/>
      <c r="T8" s="3"/>
      <c r="U8" s="3"/>
      <c r="V8" s="3"/>
      <c r="W8" s="3"/>
      <c r="X8" s="3"/>
      <c r="Y8" s="3"/>
      <c r="Z8" s="3"/>
      <c r="AA8" s="3"/>
      <c r="AB8" s="3"/>
      <c r="AC8" s="3"/>
      <c r="AD8" s="3"/>
      <c r="AE8" s="3"/>
      <c r="AF8" s="3"/>
      <c r="AG8" s="3"/>
      <c r="AH8" s="3"/>
      <c r="AI8" s="3"/>
      <c r="AJ8" s="4"/>
    </row>
    <row r="9" spans="1:52" x14ac:dyDescent="0.25">
      <c r="B9" s="1" t="s">
        <v>7</v>
      </c>
      <c r="C9" s="4">
        <v>7642</v>
      </c>
      <c r="D9" s="4">
        <v>8006</v>
      </c>
      <c r="E9" s="4">
        <v>8141</v>
      </c>
      <c r="F9" s="4">
        <v>8748</v>
      </c>
      <c r="G9" s="4">
        <v>8585</v>
      </c>
      <c r="H9" s="4">
        <v>8764</v>
      </c>
      <c r="I9" s="4">
        <v>8879</v>
      </c>
      <c r="J9" s="4">
        <v>9451</v>
      </c>
      <c r="K9" s="4"/>
      <c r="L9" s="4"/>
      <c r="M9" s="4"/>
      <c r="N9" s="4"/>
      <c r="O9" s="4"/>
      <c r="P9" s="4"/>
      <c r="Q9" s="4"/>
      <c r="R9" s="4"/>
      <c r="S9" s="4"/>
      <c r="T9" s="4">
        <v>5014</v>
      </c>
      <c r="U9" s="4">
        <v>6205</v>
      </c>
      <c r="V9" s="4">
        <v>7799</v>
      </c>
      <c r="W9" s="4">
        <v>9766</v>
      </c>
      <c r="X9" s="4">
        <v>12413</v>
      </c>
      <c r="Y9" s="4">
        <v>16043</v>
      </c>
      <c r="Z9" s="4">
        <v>19976</v>
      </c>
      <c r="AA9" s="4">
        <v>24657</v>
      </c>
      <c r="AB9" s="4">
        <v>29021</v>
      </c>
      <c r="AC9" s="4">
        <v>32537</v>
      </c>
      <c r="AD9" s="4">
        <f>+SUM(AD2:AD6)</f>
        <v>35679</v>
      </c>
      <c r="AE9" s="4">
        <f t="shared" ref="AE9:AJ9" si="8">+SUM(AE2:AE6)</f>
        <v>38668.480000000003</v>
      </c>
      <c r="AF9" s="4">
        <f t="shared" si="8"/>
        <v>41911.494000000006</v>
      </c>
      <c r="AG9" s="4">
        <f t="shared" si="8"/>
        <v>45429.807958000012</v>
      </c>
      <c r="AH9" s="4">
        <f t="shared" si="8"/>
        <v>49247.079325440012</v>
      </c>
      <c r="AI9" s="4">
        <f t="shared" si="8"/>
        <v>53389.02340346382</v>
      </c>
      <c r="AJ9" s="4">
        <f t="shared" si="8"/>
        <v>57883.594501854262</v>
      </c>
      <c r="AL9" s="1" t="s">
        <v>45</v>
      </c>
      <c r="AM9" s="7">
        <v>0.09</v>
      </c>
    </row>
    <row r="10" spans="1:52" x14ac:dyDescent="0.25">
      <c r="B10" s="1" t="s">
        <v>8</v>
      </c>
      <c r="C10" s="4">
        <v>605</v>
      </c>
      <c r="D10" s="4">
        <v>597</v>
      </c>
      <c r="E10" s="4">
        <v>579</v>
      </c>
      <c r="F10" s="4">
        <v>539</v>
      </c>
      <c r="G10" s="4">
        <v>548</v>
      </c>
      <c r="H10" s="4">
        <v>561</v>
      </c>
      <c r="I10" s="4">
        <v>565</v>
      </c>
      <c r="J10" s="4">
        <v>542</v>
      </c>
      <c r="K10" s="4"/>
      <c r="L10" s="4"/>
      <c r="M10" s="4"/>
      <c r="N10" s="4"/>
      <c r="O10" s="4"/>
      <c r="P10" s="4"/>
      <c r="Q10" s="4"/>
      <c r="R10" s="4"/>
      <c r="S10" s="4"/>
      <c r="T10" s="4">
        <v>360</v>
      </c>
      <c r="U10" s="4">
        <v>462</v>
      </c>
      <c r="V10" s="4">
        <v>638</v>
      </c>
      <c r="W10" s="4">
        <v>774</v>
      </c>
      <c r="X10" s="4">
        <v>869</v>
      </c>
      <c r="Y10" s="4">
        <v>1055</v>
      </c>
      <c r="Z10" s="4">
        <v>1276</v>
      </c>
      <c r="AA10" s="4">
        <v>1835</v>
      </c>
      <c r="AB10" s="4">
        <v>2331</v>
      </c>
      <c r="AC10" s="4">
        <v>2320</v>
      </c>
      <c r="AD10" s="4">
        <v>2216</v>
      </c>
      <c r="AE10" s="4">
        <f t="shared" ref="AE10:AJ10" si="9">+AD10*1.03</f>
        <v>2282.48</v>
      </c>
      <c r="AF10" s="4">
        <f t="shared" si="9"/>
        <v>2350.9544000000001</v>
      </c>
      <c r="AG10" s="4">
        <f t="shared" si="9"/>
        <v>2421.4830320000001</v>
      </c>
      <c r="AH10" s="4">
        <f t="shared" si="9"/>
        <v>2494.1275229600001</v>
      </c>
      <c r="AI10" s="4">
        <f t="shared" si="9"/>
        <v>2568.9513486487999</v>
      </c>
      <c r="AJ10" s="4">
        <f t="shared" si="9"/>
        <v>2646.0198891082641</v>
      </c>
      <c r="AL10" s="1" t="s">
        <v>46</v>
      </c>
      <c r="AM10" s="5">
        <v>0.03</v>
      </c>
    </row>
    <row r="11" spans="1:52" x14ac:dyDescent="0.25">
      <c r="B11" s="2" t="s">
        <v>9</v>
      </c>
      <c r="C11" s="3">
        <f t="shared" ref="C11:F11" si="10">+C9+C10</f>
        <v>8247</v>
      </c>
      <c r="D11" s="3">
        <f t="shared" si="10"/>
        <v>8603</v>
      </c>
      <c r="E11" s="3">
        <f t="shared" si="10"/>
        <v>8720</v>
      </c>
      <c r="F11" s="3">
        <f t="shared" si="10"/>
        <v>9287</v>
      </c>
      <c r="G11" s="3">
        <f>+G9+G10</f>
        <v>9133</v>
      </c>
      <c r="H11" s="3">
        <f t="shared" ref="H11:J11" si="11">+H9+H10</f>
        <v>9325</v>
      </c>
      <c r="I11" s="3">
        <f t="shared" si="11"/>
        <v>9444</v>
      </c>
      <c r="J11" s="3">
        <f t="shared" si="11"/>
        <v>9993</v>
      </c>
      <c r="K11" s="4"/>
      <c r="L11" s="4"/>
      <c r="M11" s="15">
        <v>748.7</v>
      </c>
      <c r="N11" s="15">
        <v>1076.8</v>
      </c>
      <c r="O11" s="15">
        <v>1305.5999999999999</v>
      </c>
      <c r="P11" s="15">
        <v>1657.1</v>
      </c>
      <c r="Q11" s="15">
        <v>2266.5</v>
      </c>
      <c r="R11" s="15">
        <v>3231.6</v>
      </c>
      <c r="S11" s="15">
        <v>4071</v>
      </c>
      <c r="T11" s="15">
        <v>5373.6</v>
      </c>
      <c r="U11" s="3">
        <f t="shared" ref="U11:Z11" si="12">+U9+U10</f>
        <v>6667</v>
      </c>
      <c r="V11" s="3">
        <f t="shared" si="12"/>
        <v>8437</v>
      </c>
      <c r="W11" s="3">
        <f t="shared" si="12"/>
        <v>10540</v>
      </c>
      <c r="X11" s="3">
        <f t="shared" si="12"/>
        <v>13282</v>
      </c>
      <c r="Y11" s="3">
        <f t="shared" si="12"/>
        <v>17098</v>
      </c>
      <c r="Z11" s="3">
        <f t="shared" si="12"/>
        <v>21252</v>
      </c>
      <c r="AA11" s="3">
        <f t="shared" ref="AA11:AC11" si="13">+AA9+AA10</f>
        <v>26492</v>
      </c>
      <c r="AB11" s="3">
        <f t="shared" si="13"/>
        <v>31352</v>
      </c>
      <c r="AC11" s="3">
        <f t="shared" si="13"/>
        <v>34857</v>
      </c>
      <c r="AD11" s="3">
        <f>+SUM(AD2:AD6)+AD10</f>
        <v>37895</v>
      </c>
      <c r="AE11" s="3">
        <f>+SUM(AE2:AE6)+AE10</f>
        <v>40950.960000000006</v>
      </c>
      <c r="AF11" s="3">
        <f>+SUM(AF2:AF6)+AF10</f>
        <v>44262.448400000008</v>
      </c>
      <c r="AG11" s="3">
        <f>+SUM(AG2:AG6)+AG10</f>
        <v>47851.290990000009</v>
      </c>
      <c r="AH11" s="3">
        <f>+SUM(AH2:AH6)+AH10</f>
        <v>51741.206848400012</v>
      </c>
      <c r="AI11" s="3">
        <f t="shared" ref="AE11:AJ11" si="14">+SUM(AI2:AI6)+AI10</f>
        <v>55957.974752112619</v>
      </c>
      <c r="AJ11" s="3">
        <f t="shared" si="14"/>
        <v>60529.614390962524</v>
      </c>
      <c r="AL11" s="1" t="s">
        <v>101</v>
      </c>
      <c r="AM11" s="7">
        <v>0.15</v>
      </c>
      <c r="AQ11" s="8"/>
      <c r="AR11" s="8"/>
      <c r="AS11" s="8"/>
      <c r="AT11" s="8"/>
      <c r="AU11" s="8"/>
      <c r="AV11" s="8"/>
    </row>
    <row r="12" spans="1:52" x14ac:dyDescent="0.25">
      <c r="B12" s="1" t="s">
        <v>18</v>
      </c>
      <c r="C12" s="4">
        <v>1510</v>
      </c>
      <c r="D12" s="4">
        <v>1515</v>
      </c>
      <c r="E12" s="4">
        <v>1571</v>
      </c>
      <c r="F12" s="4">
        <v>1581</v>
      </c>
      <c r="G12" s="4">
        <v>1560</v>
      </c>
      <c r="H12" s="4">
        <v>1556</v>
      </c>
      <c r="I12" s="4">
        <v>1501</v>
      </c>
      <c r="J12" s="4">
        <v>1581</v>
      </c>
      <c r="K12" s="4"/>
      <c r="L12" s="4"/>
      <c r="M12" s="4"/>
      <c r="N12" s="4"/>
      <c r="O12" s="4"/>
      <c r="P12" s="4"/>
      <c r="Q12" s="4"/>
      <c r="R12" s="4"/>
      <c r="S12" s="4"/>
      <c r="T12" s="4">
        <v>965</v>
      </c>
      <c r="U12" s="4">
        <v>1241</v>
      </c>
      <c r="V12" s="4">
        <v>1617</v>
      </c>
      <c r="W12" s="4">
        <v>2033</v>
      </c>
      <c r="X12" s="4">
        <v>2604</v>
      </c>
      <c r="Y12" s="4">
        <v>3198</v>
      </c>
      <c r="Z12" s="4">
        <v>4154</v>
      </c>
      <c r="AA12" s="4">
        <v>5059</v>
      </c>
      <c r="AB12" s="4">
        <v>5821</v>
      </c>
      <c r="AC12" s="4">
        <v>6177</v>
      </c>
      <c r="AD12" s="4">
        <f t="shared" ref="AD12:AD13" si="15">+SUM(G12:J12)</f>
        <v>6198</v>
      </c>
      <c r="AE12" s="4">
        <f>+AE11*0.16</f>
        <v>6552.1536000000015</v>
      </c>
      <c r="AF12" s="4">
        <f>+AF11*0.167</f>
        <v>7391.8288828000022</v>
      </c>
      <c r="AG12" s="4">
        <f>+AG11*0.16</f>
        <v>7656.2065584000011</v>
      </c>
      <c r="AH12" s="4">
        <f t="shared" ref="AH12:AJ12" si="16">+AH11*0.16</f>
        <v>8278.5930957440014</v>
      </c>
      <c r="AI12" s="4">
        <f t="shared" si="16"/>
        <v>8953.27596033802</v>
      </c>
      <c r="AJ12" s="4">
        <f t="shared" si="16"/>
        <v>9684.7383025540039</v>
      </c>
      <c r="AL12" s="1" t="s">
        <v>47</v>
      </c>
      <c r="AM12" s="6">
        <f>+NPV(AM9,AD26:BT26)</f>
        <v>320097.86434452439</v>
      </c>
      <c r="AP12" s="8"/>
      <c r="AQ12" s="8"/>
      <c r="AR12" s="8"/>
      <c r="AS12" s="8"/>
      <c r="AT12" s="8"/>
      <c r="AU12" s="8"/>
      <c r="AV12" s="8"/>
      <c r="AW12" s="8"/>
      <c r="AX12" s="8"/>
      <c r="AY12" s="8"/>
      <c r="AZ12" s="8"/>
    </row>
    <row r="13" spans="1:52" x14ac:dyDescent="0.25">
      <c r="B13" s="1" t="s">
        <v>19</v>
      </c>
      <c r="C13" s="4">
        <v>615</v>
      </c>
      <c r="D13" s="4">
        <v>598</v>
      </c>
      <c r="E13" s="4">
        <v>584</v>
      </c>
      <c r="F13" s="4">
        <v>567</v>
      </c>
      <c r="G13" s="4">
        <v>602</v>
      </c>
      <c r="H13" s="4">
        <v>603</v>
      </c>
      <c r="I13" s="4">
        <v>604</v>
      </c>
      <c r="J13" s="4">
        <v>636</v>
      </c>
      <c r="K13" s="4"/>
      <c r="L13" s="4"/>
      <c r="M13" s="4"/>
      <c r="N13" s="4"/>
      <c r="O13" s="4"/>
      <c r="P13" s="4"/>
      <c r="Q13" s="4"/>
      <c r="R13" s="4"/>
      <c r="S13" s="4"/>
      <c r="T13" s="4">
        <v>325</v>
      </c>
      <c r="U13" s="4">
        <v>413</v>
      </c>
      <c r="V13" s="4">
        <v>617</v>
      </c>
      <c r="W13" s="4">
        <v>740</v>
      </c>
      <c r="X13" s="4">
        <v>847</v>
      </c>
      <c r="Y13" s="4">
        <v>1037</v>
      </c>
      <c r="Z13" s="4">
        <v>1284</v>
      </c>
      <c r="AA13" s="4">
        <v>1967</v>
      </c>
      <c r="AB13" s="4">
        <v>2539</v>
      </c>
      <c r="AC13" s="4">
        <v>2364</v>
      </c>
      <c r="AD13" s="4">
        <f t="shared" si="15"/>
        <v>2445</v>
      </c>
      <c r="AE13" s="4">
        <f>+AD13*1.02</f>
        <v>2493.9</v>
      </c>
      <c r="AF13" s="4">
        <f t="shared" ref="AE13:AJ13" si="17">+AE13*1.03</f>
        <v>2568.7170000000001</v>
      </c>
      <c r="AG13" s="4">
        <f t="shared" si="17"/>
        <v>2645.7785100000001</v>
      </c>
      <c r="AH13" s="4">
        <f t="shared" si="17"/>
        <v>2725.1518653000003</v>
      </c>
      <c r="AI13" s="4">
        <f t="shared" si="17"/>
        <v>2806.9064212590006</v>
      </c>
      <c r="AJ13" s="4">
        <f t="shared" si="17"/>
        <v>2891.1136138967709</v>
      </c>
      <c r="AL13" s="1" t="s">
        <v>48</v>
      </c>
      <c r="AM13" s="6">
        <f>+main!B5-main!B6</f>
        <v>10451</v>
      </c>
    </row>
    <row r="14" spans="1:52" x14ac:dyDescent="0.25">
      <c r="B14" s="1" t="s">
        <v>20</v>
      </c>
      <c r="C14" s="4">
        <f t="shared" ref="C14:F14" si="18">+C12+C13</f>
        <v>2125</v>
      </c>
      <c r="D14" s="4">
        <f t="shared" si="18"/>
        <v>2113</v>
      </c>
      <c r="E14" s="4">
        <f t="shared" si="18"/>
        <v>2155</v>
      </c>
      <c r="F14" s="4">
        <f t="shared" si="18"/>
        <v>2148</v>
      </c>
      <c r="G14" s="4">
        <f>+G12+G13</f>
        <v>2162</v>
      </c>
      <c r="H14" s="4">
        <f t="shared" ref="H14:J14" si="19">+H12+H13</f>
        <v>2159</v>
      </c>
      <c r="I14" s="4">
        <f t="shared" si="19"/>
        <v>2105</v>
      </c>
      <c r="J14" s="4">
        <f t="shared" si="19"/>
        <v>2217</v>
      </c>
      <c r="K14" s="4"/>
      <c r="L14" s="4"/>
      <c r="M14" s="16">
        <v>171.6</v>
      </c>
      <c r="N14" s="16">
        <v>220.5</v>
      </c>
      <c r="O14" s="16">
        <v>257.89999999999998</v>
      </c>
      <c r="P14" s="16">
        <v>323.8</v>
      </c>
      <c r="Q14" s="16">
        <v>488.9</v>
      </c>
      <c r="R14" s="16">
        <v>873</v>
      </c>
      <c r="S14" s="16">
        <v>968.4</v>
      </c>
      <c r="T14" s="4">
        <f t="shared" ref="T14" si="20">+T12+T13</f>
        <v>1290</v>
      </c>
      <c r="U14" s="4">
        <f t="shared" ref="U14:Z14" si="21">+U12+U13</f>
        <v>1654</v>
      </c>
      <c r="V14" s="4">
        <f t="shared" si="21"/>
        <v>2234</v>
      </c>
      <c r="W14" s="4">
        <f t="shared" si="21"/>
        <v>2773</v>
      </c>
      <c r="X14" s="4">
        <f t="shared" si="21"/>
        <v>3451</v>
      </c>
      <c r="Y14" s="4">
        <f t="shared" si="21"/>
        <v>4235</v>
      </c>
      <c r="Z14" s="4">
        <f t="shared" si="21"/>
        <v>5438</v>
      </c>
      <c r="AA14" s="4">
        <f t="shared" ref="AA14:AE14" si="22">+AA12+AA13</f>
        <v>7026</v>
      </c>
      <c r="AB14" s="4">
        <f t="shared" si="22"/>
        <v>8360</v>
      </c>
      <c r="AC14" s="4">
        <f t="shared" si="22"/>
        <v>8541</v>
      </c>
      <c r="AD14" s="4">
        <f t="shared" si="22"/>
        <v>8643</v>
      </c>
      <c r="AE14" s="4">
        <f t="shared" si="22"/>
        <v>9046.0536000000011</v>
      </c>
      <c r="AF14" s="4">
        <f t="shared" ref="AF14:AI14" si="23">+AF12+AF13</f>
        <v>9960.5458828000028</v>
      </c>
      <c r="AG14" s="4">
        <f t="shared" si="23"/>
        <v>10301.985068400001</v>
      </c>
      <c r="AH14" s="4">
        <f t="shared" si="23"/>
        <v>11003.744961044002</v>
      </c>
      <c r="AI14" s="4">
        <f t="shared" si="23"/>
        <v>11760.18238159702</v>
      </c>
      <c r="AJ14" s="4">
        <f t="shared" ref="AJ14" si="24">+AJ12+AJ13</f>
        <v>12575.851916450774</v>
      </c>
      <c r="AL14" s="1" t="s">
        <v>49</v>
      </c>
      <c r="AM14" s="6">
        <f>+AM12+AM13</f>
        <v>330548.86434452439</v>
      </c>
    </row>
    <row r="15" spans="1:52" x14ac:dyDescent="0.25">
      <c r="B15" s="2" t="s">
        <v>21</v>
      </c>
      <c r="C15" s="3">
        <f t="shared" ref="C15:F15" si="25">+C11-C14</f>
        <v>6122</v>
      </c>
      <c r="D15" s="3">
        <f t="shared" si="25"/>
        <v>6490</v>
      </c>
      <c r="E15" s="3">
        <f t="shared" si="25"/>
        <v>6565</v>
      </c>
      <c r="F15" s="3">
        <f t="shared" si="25"/>
        <v>7139</v>
      </c>
      <c r="G15" s="3">
        <f>+G11-G14</f>
        <v>6971</v>
      </c>
      <c r="H15" s="3">
        <f t="shared" ref="H15:J15" si="26">+H11-H14</f>
        <v>7166</v>
      </c>
      <c r="I15" s="3">
        <f t="shared" si="26"/>
        <v>7339</v>
      </c>
      <c r="J15" s="3">
        <f t="shared" si="26"/>
        <v>7776</v>
      </c>
      <c r="K15" s="4"/>
      <c r="L15" s="4"/>
      <c r="M15" s="3">
        <f t="shared" ref="M15:S15" si="27">+M11-M14</f>
        <v>577.1</v>
      </c>
      <c r="N15" s="3">
        <f t="shared" si="27"/>
        <v>856.3</v>
      </c>
      <c r="O15" s="3">
        <f t="shared" si="27"/>
        <v>1047.6999999999998</v>
      </c>
      <c r="P15" s="3">
        <f t="shared" si="27"/>
        <v>1333.3</v>
      </c>
      <c r="Q15" s="3">
        <f t="shared" si="27"/>
        <v>1777.6</v>
      </c>
      <c r="R15" s="3">
        <f t="shared" si="27"/>
        <v>2358.6</v>
      </c>
      <c r="S15" s="3">
        <f t="shared" si="27"/>
        <v>3102.6</v>
      </c>
      <c r="T15" s="3">
        <f t="shared" ref="T15" si="28">+T11-T14</f>
        <v>4083.6000000000004</v>
      </c>
      <c r="U15" s="3">
        <f t="shared" ref="U15:Z15" si="29">+U11-U14</f>
        <v>5013</v>
      </c>
      <c r="V15" s="3">
        <f t="shared" si="29"/>
        <v>6203</v>
      </c>
      <c r="W15" s="3">
        <f t="shared" si="29"/>
        <v>7767</v>
      </c>
      <c r="X15" s="3">
        <f t="shared" si="29"/>
        <v>9831</v>
      </c>
      <c r="Y15" s="3">
        <f t="shared" si="29"/>
        <v>12863</v>
      </c>
      <c r="Z15" s="3">
        <f t="shared" si="29"/>
        <v>15814</v>
      </c>
      <c r="AA15" s="3">
        <f t="shared" ref="AA15:AE15" si="30">+AA11-AA14</f>
        <v>19466</v>
      </c>
      <c r="AB15" s="3">
        <f t="shared" si="30"/>
        <v>22992</v>
      </c>
      <c r="AC15" s="3">
        <f t="shared" si="30"/>
        <v>26316</v>
      </c>
      <c r="AD15" s="3">
        <f t="shared" si="30"/>
        <v>29252</v>
      </c>
      <c r="AE15" s="3">
        <f t="shared" si="30"/>
        <v>31904.906400000007</v>
      </c>
      <c r="AF15" s="3">
        <f t="shared" ref="AF15:AI15" si="31">+AF11-AF14</f>
        <v>34301.902517200004</v>
      </c>
      <c r="AG15" s="3">
        <f t="shared" si="31"/>
        <v>37549.305921600011</v>
      </c>
      <c r="AH15" s="3">
        <f t="shared" si="31"/>
        <v>40737.46188735601</v>
      </c>
      <c r="AI15" s="3">
        <f t="shared" si="31"/>
        <v>44197.792370515599</v>
      </c>
      <c r="AJ15" s="3">
        <f t="shared" ref="AJ15" si="32">+AJ11-AJ14</f>
        <v>47953.76247451175</v>
      </c>
      <c r="AL15" s="1" t="s">
        <v>50</v>
      </c>
      <c r="AM15" s="6">
        <f>+AM14/main!B3</f>
        <v>345.76241040222214</v>
      </c>
    </row>
    <row r="16" spans="1:52" x14ac:dyDescent="0.25">
      <c r="B16" s="1" t="s">
        <v>22</v>
      </c>
      <c r="C16" s="4">
        <v>1207</v>
      </c>
      <c r="D16" s="4">
        <v>1220</v>
      </c>
      <c r="E16" s="4">
        <v>1204</v>
      </c>
      <c r="F16" s="4">
        <v>1275</v>
      </c>
      <c r="G16" s="4">
        <v>1368</v>
      </c>
      <c r="H16" s="4">
        <v>1349</v>
      </c>
      <c r="I16" s="4">
        <v>1356</v>
      </c>
      <c r="J16" s="4">
        <v>1420</v>
      </c>
      <c r="K16" s="4"/>
      <c r="L16" s="4"/>
      <c r="M16" s="4"/>
      <c r="N16" s="4"/>
      <c r="O16" s="4"/>
      <c r="P16" s="4"/>
      <c r="Q16" s="4"/>
      <c r="R16" s="4"/>
      <c r="S16" s="4"/>
      <c r="T16" s="4">
        <v>793</v>
      </c>
      <c r="U16" s="4">
        <v>946</v>
      </c>
      <c r="V16" s="4">
        <v>1208</v>
      </c>
      <c r="W16" s="4">
        <v>1553</v>
      </c>
      <c r="X16" s="4">
        <v>1886</v>
      </c>
      <c r="Y16" s="4">
        <v>2766</v>
      </c>
      <c r="Z16" s="4">
        <v>3598</v>
      </c>
      <c r="AA16" s="4">
        <v>4465</v>
      </c>
      <c r="AB16" s="4">
        <v>5055</v>
      </c>
      <c r="AC16" s="4">
        <v>4906</v>
      </c>
      <c r="AD16" s="4">
        <f t="shared" ref="AD16:AD18" si="33">+SUM(G16:J16)</f>
        <v>5493</v>
      </c>
      <c r="AE16" s="4">
        <f t="shared" ref="AE16:AJ16" si="34">+AE11*0.14</f>
        <v>5733.1344000000017</v>
      </c>
      <c r="AF16" s="4">
        <f t="shared" si="34"/>
        <v>6196.7427760000019</v>
      </c>
      <c r="AG16" s="4">
        <f>+AG11*0.13</f>
        <v>6220.6678287000013</v>
      </c>
      <c r="AH16" s="4">
        <f t="shared" ref="AH16:AJ16" si="35">+AH11*0.13</f>
        <v>6726.3568902920015</v>
      </c>
      <c r="AI16" s="4">
        <f>+AI11*0.12</f>
        <v>6714.9569702535136</v>
      </c>
      <c r="AJ16" s="4">
        <f t="shared" ref="AJ16" si="36">+AJ11*0.12</f>
        <v>7263.5537269155029</v>
      </c>
      <c r="AL16" s="2" t="s">
        <v>126</v>
      </c>
      <c r="AM16" s="4">
        <f>+J101</f>
        <v>12434</v>
      </c>
    </row>
    <row r="17" spans="2:72" x14ac:dyDescent="0.25">
      <c r="B17" s="1" t="s">
        <v>23</v>
      </c>
      <c r="C17" s="4">
        <v>3154</v>
      </c>
      <c r="D17" s="4">
        <v>3113</v>
      </c>
      <c r="E17" s="4">
        <v>3173</v>
      </c>
      <c r="F17" s="4">
        <v>3437</v>
      </c>
      <c r="G17" s="4">
        <v>3239</v>
      </c>
      <c r="H17" s="4">
        <v>3224</v>
      </c>
      <c r="I17" s="4">
        <v>3323</v>
      </c>
      <c r="J17" s="4">
        <v>3471</v>
      </c>
      <c r="K17" s="4"/>
      <c r="L17" s="4"/>
      <c r="M17" s="4"/>
      <c r="N17" s="4"/>
      <c r="O17" s="4"/>
      <c r="P17" s="4"/>
      <c r="Q17" s="4"/>
      <c r="R17" s="4"/>
      <c r="S17" s="4"/>
      <c r="T17" s="4">
        <v>2757</v>
      </c>
      <c r="U17" s="4">
        <v>3240</v>
      </c>
      <c r="V17" s="4">
        <v>3811</v>
      </c>
      <c r="W17" s="4">
        <v>4671</v>
      </c>
      <c r="X17" s="4">
        <v>6064</v>
      </c>
      <c r="Y17" s="4">
        <v>7930</v>
      </c>
      <c r="Z17" s="4">
        <v>9674</v>
      </c>
      <c r="AA17" s="4">
        <v>11855</v>
      </c>
      <c r="AB17" s="4">
        <v>13526</v>
      </c>
      <c r="AC17" s="4">
        <v>12877</v>
      </c>
      <c r="AD17" s="4">
        <f t="shared" si="33"/>
        <v>13257</v>
      </c>
      <c r="AE17" s="4">
        <f>+AD17*1.03</f>
        <v>13654.710000000001</v>
      </c>
      <c r="AF17" s="4">
        <f t="shared" ref="AF17:AJ17" si="37">+AE17*1.03</f>
        <v>14064.351300000002</v>
      </c>
      <c r="AG17" s="4">
        <f t="shared" si="37"/>
        <v>14486.281839000003</v>
      </c>
      <c r="AH17" s="4">
        <f t="shared" si="37"/>
        <v>14920.870294170003</v>
      </c>
      <c r="AI17" s="4">
        <f t="shared" si="37"/>
        <v>15368.496402995104</v>
      </c>
      <c r="AJ17" s="4">
        <f t="shared" si="37"/>
        <v>15829.551295084957</v>
      </c>
      <c r="AL17" s="2" t="s">
        <v>127</v>
      </c>
      <c r="AM17" s="14">
        <f ca="1">+main!B7/model!AM16</f>
        <v>18.774627633907031</v>
      </c>
    </row>
    <row r="18" spans="2:72" x14ac:dyDescent="0.25">
      <c r="B18" s="1" t="s">
        <v>24</v>
      </c>
      <c r="C18" s="4">
        <v>638</v>
      </c>
      <c r="D18" s="4">
        <v>632</v>
      </c>
      <c r="E18" s="4">
        <v>632</v>
      </c>
      <c r="F18" s="4">
        <v>632</v>
      </c>
      <c r="G18" s="4">
        <v>647</v>
      </c>
      <c r="H18" s="4">
        <v>711</v>
      </c>
      <c r="I18" s="4">
        <v>711</v>
      </c>
      <c r="J18" s="4">
        <v>767</v>
      </c>
      <c r="K18" s="4"/>
      <c r="L18" s="4"/>
      <c r="M18" s="4"/>
      <c r="N18" s="4"/>
      <c r="O18" s="4"/>
      <c r="P18" s="4"/>
      <c r="Q18" s="4"/>
      <c r="R18" s="4"/>
      <c r="S18" s="4"/>
      <c r="T18" s="4">
        <v>680</v>
      </c>
      <c r="U18" s="4">
        <v>748</v>
      </c>
      <c r="V18" s="4">
        <v>966</v>
      </c>
      <c r="W18" s="4">
        <v>1089</v>
      </c>
      <c r="X18" s="4">
        <v>1346</v>
      </c>
      <c r="Y18" s="4">
        <f>1704+166</f>
        <v>1870</v>
      </c>
      <c r="Z18" s="4">
        <v>2087</v>
      </c>
      <c r="AA18" s="4">
        <v>2598</v>
      </c>
      <c r="AB18" s="4">
        <v>2553</v>
      </c>
      <c r="AC18" s="4">
        <v>2534</v>
      </c>
      <c r="AD18" s="4">
        <f t="shared" si="33"/>
        <v>2836</v>
      </c>
      <c r="AE18" s="4">
        <f>+AD18*1.04</f>
        <v>2949.44</v>
      </c>
      <c r="AF18" s="4">
        <f t="shared" ref="AF18:AJ18" si="38">+AE18*1.04</f>
        <v>3067.4176000000002</v>
      </c>
      <c r="AG18" s="4">
        <f t="shared" si="38"/>
        <v>3190.1143040000002</v>
      </c>
      <c r="AH18" s="4">
        <f t="shared" si="38"/>
        <v>3317.7188761600005</v>
      </c>
      <c r="AI18" s="4">
        <f t="shared" si="38"/>
        <v>3450.4276312064007</v>
      </c>
      <c r="AJ18" s="4">
        <f t="shared" si="38"/>
        <v>3588.4447364546568</v>
      </c>
    </row>
    <row r="19" spans="2:72" x14ac:dyDescent="0.25">
      <c r="B19" s="1" t="s">
        <v>75</v>
      </c>
      <c r="C19" s="4">
        <v>711</v>
      </c>
      <c r="D19" s="4">
        <v>49</v>
      </c>
      <c r="E19" s="4">
        <v>55</v>
      </c>
      <c r="F19" s="4">
        <v>173</v>
      </c>
      <c r="G19" s="4">
        <v>8</v>
      </c>
      <c r="H19" s="4">
        <v>99</v>
      </c>
      <c r="I19" s="4">
        <v>56</v>
      </c>
      <c r="J19" s="4">
        <v>298</v>
      </c>
      <c r="K19" s="4"/>
      <c r="L19" s="4"/>
      <c r="M19" s="4"/>
      <c r="N19" s="4"/>
      <c r="O19" s="4"/>
      <c r="P19" s="4"/>
      <c r="Q19" s="4"/>
      <c r="R19" s="4"/>
      <c r="S19" s="4"/>
      <c r="T19" s="4"/>
      <c r="U19" s="4"/>
      <c r="V19" s="4"/>
      <c r="W19" s="4"/>
      <c r="X19" s="4"/>
      <c r="Y19" s="4"/>
      <c r="Z19" s="4"/>
      <c r="AA19" s="4"/>
      <c r="AB19" s="4"/>
      <c r="AC19" s="4"/>
      <c r="AD19" s="4"/>
      <c r="AE19" s="4"/>
      <c r="AF19" s="4"/>
      <c r="AG19" s="4"/>
      <c r="AH19" s="4"/>
      <c r="AI19" s="4"/>
      <c r="AJ19" s="4"/>
    </row>
    <row r="20" spans="2:72" x14ac:dyDescent="0.25">
      <c r="B20" s="1" t="s">
        <v>25</v>
      </c>
      <c r="C20" s="4">
        <f t="shared" ref="C20:J20" si="39">+C16+C17+C18+C19</f>
        <v>5710</v>
      </c>
      <c r="D20" s="4">
        <f t="shared" si="39"/>
        <v>5014</v>
      </c>
      <c r="E20" s="4">
        <f t="shared" si="39"/>
        <v>5064</v>
      </c>
      <c r="F20" s="4">
        <f t="shared" si="39"/>
        <v>5517</v>
      </c>
      <c r="G20" s="4">
        <f t="shared" si="39"/>
        <v>5262</v>
      </c>
      <c r="H20" s="4">
        <f t="shared" si="39"/>
        <v>5383</v>
      </c>
      <c r="I20" s="4">
        <f t="shared" si="39"/>
        <v>5446</v>
      </c>
      <c r="J20" s="4">
        <f t="shared" si="39"/>
        <v>5956</v>
      </c>
      <c r="K20" s="4"/>
      <c r="L20" s="4"/>
      <c r="M20" s="16">
        <v>556.79999999999995</v>
      </c>
      <c r="N20" s="16">
        <v>792.6</v>
      </c>
      <c r="O20" s="16">
        <v>932.4</v>
      </c>
      <c r="P20" s="16">
        <v>1235.8</v>
      </c>
      <c r="Q20" s="16">
        <v>1812.7</v>
      </c>
      <c r="R20" s="16">
        <v>2477.3000000000002</v>
      </c>
      <c r="S20" s="16">
        <v>3388.6</v>
      </c>
      <c r="T20" s="4">
        <f>+T16+T17+T18</f>
        <v>4230</v>
      </c>
      <c r="U20" s="4">
        <f>+U16+U17+U18</f>
        <v>4934</v>
      </c>
      <c r="V20" s="4">
        <f>+V16+V17+V18</f>
        <v>5985</v>
      </c>
      <c r="W20" s="4">
        <f>+W16+W17+W18</f>
        <v>7313</v>
      </c>
      <c r="X20" s="4">
        <f t="shared" ref="X20:AJ20" si="40">+X16+X17+X18+X19</f>
        <v>9296</v>
      </c>
      <c r="Y20" s="4">
        <f t="shared" si="40"/>
        <v>12566</v>
      </c>
      <c r="Z20" s="4">
        <f t="shared" si="40"/>
        <v>15359</v>
      </c>
      <c r="AA20" s="4">
        <f t="shared" si="40"/>
        <v>18918</v>
      </c>
      <c r="AB20" s="4">
        <f t="shared" si="40"/>
        <v>21134</v>
      </c>
      <c r="AC20" s="4">
        <f t="shared" si="40"/>
        <v>20317</v>
      </c>
      <c r="AD20" s="4">
        <f t="shared" si="40"/>
        <v>21586</v>
      </c>
      <c r="AE20" s="4">
        <f t="shared" si="40"/>
        <v>22337.2844</v>
      </c>
      <c r="AF20" s="4">
        <f t="shared" si="40"/>
        <v>23328.511676000006</v>
      </c>
      <c r="AG20" s="4">
        <f t="shared" si="40"/>
        <v>23897.063971700005</v>
      </c>
      <c r="AH20" s="4">
        <f t="shared" si="40"/>
        <v>24964.946060622005</v>
      </c>
      <c r="AI20" s="4">
        <f t="shared" si="40"/>
        <v>25533.881004455015</v>
      </c>
      <c r="AJ20" s="4">
        <f t="shared" si="40"/>
        <v>26681.549758455119</v>
      </c>
    </row>
    <row r="21" spans="2:72" x14ac:dyDescent="0.25">
      <c r="B21" s="2" t="s">
        <v>26</v>
      </c>
      <c r="C21" s="3">
        <f t="shared" ref="C21:J21" si="41">+C15-C20</f>
        <v>412</v>
      </c>
      <c r="D21" s="3">
        <f t="shared" si="41"/>
        <v>1476</v>
      </c>
      <c r="E21" s="3">
        <f t="shared" si="41"/>
        <v>1501</v>
      </c>
      <c r="F21" s="3">
        <f t="shared" si="41"/>
        <v>1622</v>
      </c>
      <c r="G21" s="3">
        <f t="shared" si="41"/>
        <v>1709</v>
      </c>
      <c r="H21" s="3">
        <f t="shared" si="41"/>
        <v>1783</v>
      </c>
      <c r="I21" s="3">
        <f t="shared" si="41"/>
        <v>1893</v>
      </c>
      <c r="J21" s="3">
        <f t="shared" si="41"/>
        <v>1820</v>
      </c>
      <c r="K21" s="4"/>
      <c r="L21" s="4"/>
      <c r="M21" s="3">
        <f t="shared" ref="M21:AJ21" si="42">+M15-M20</f>
        <v>20.300000000000068</v>
      </c>
      <c r="N21" s="3">
        <f t="shared" si="42"/>
        <v>63.699999999999932</v>
      </c>
      <c r="O21" s="3">
        <f t="shared" si="42"/>
        <v>115.29999999999984</v>
      </c>
      <c r="P21" s="3">
        <f t="shared" si="42"/>
        <v>97.5</v>
      </c>
      <c r="Q21" s="3">
        <f t="shared" si="42"/>
        <v>-35.100000000000136</v>
      </c>
      <c r="R21" s="3">
        <f t="shared" si="42"/>
        <v>-118.70000000000027</v>
      </c>
      <c r="S21" s="3">
        <f t="shared" si="42"/>
        <v>-286</v>
      </c>
      <c r="T21" s="3">
        <f t="shared" si="42"/>
        <v>-146.39999999999964</v>
      </c>
      <c r="U21" s="3">
        <f t="shared" si="42"/>
        <v>79</v>
      </c>
      <c r="V21" s="3">
        <f t="shared" si="42"/>
        <v>218</v>
      </c>
      <c r="W21" s="3">
        <f t="shared" si="42"/>
        <v>454</v>
      </c>
      <c r="X21" s="3">
        <f t="shared" si="42"/>
        <v>535</v>
      </c>
      <c r="Y21" s="3">
        <f t="shared" si="42"/>
        <v>297</v>
      </c>
      <c r="Z21" s="3">
        <f t="shared" si="42"/>
        <v>455</v>
      </c>
      <c r="AA21" s="3">
        <f t="shared" si="42"/>
        <v>548</v>
      </c>
      <c r="AB21" s="3">
        <f t="shared" si="42"/>
        <v>1858</v>
      </c>
      <c r="AC21" s="3">
        <f t="shared" si="42"/>
        <v>5999</v>
      </c>
      <c r="AD21" s="3">
        <f t="shared" si="42"/>
        <v>7666</v>
      </c>
      <c r="AE21" s="3">
        <f t="shared" si="42"/>
        <v>9567.6220000000067</v>
      </c>
      <c r="AF21" s="3">
        <f t="shared" si="42"/>
        <v>10973.390841199998</v>
      </c>
      <c r="AG21" s="3">
        <f t="shared" si="42"/>
        <v>13652.241949900006</v>
      </c>
      <c r="AH21" s="3">
        <f t="shared" si="42"/>
        <v>15772.515826734005</v>
      </c>
      <c r="AI21" s="3">
        <f t="shared" si="42"/>
        <v>18663.911366060584</v>
      </c>
      <c r="AJ21" s="3">
        <f t="shared" si="42"/>
        <v>21272.212716056631</v>
      </c>
    </row>
    <row r="22" spans="2:72" x14ac:dyDescent="0.25">
      <c r="B22" s="1" t="s">
        <v>27</v>
      </c>
      <c r="C22" s="4">
        <v>-141</v>
      </c>
      <c r="D22" s="4">
        <v>-29</v>
      </c>
      <c r="E22" s="4">
        <v>-72</v>
      </c>
      <c r="F22" s="4">
        <v>-35</v>
      </c>
      <c r="G22" s="4">
        <v>37</v>
      </c>
      <c r="H22" s="4">
        <v>-37</v>
      </c>
      <c r="I22" s="4">
        <v>-217</v>
      </c>
      <c r="J22" s="4">
        <v>96</v>
      </c>
      <c r="K22" s="4"/>
      <c r="L22" s="4"/>
      <c r="M22" s="4"/>
      <c r="N22" s="4"/>
      <c r="O22" s="4"/>
      <c r="P22" s="4"/>
      <c r="Q22" s="4"/>
      <c r="R22" s="4"/>
      <c r="S22" s="4"/>
      <c r="T22" s="4"/>
      <c r="U22" s="4"/>
      <c r="V22" s="4"/>
      <c r="W22" s="4"/>
      <c r="X22" s="4"/>
      <c r="Y22" s="4"/>
      <c r="Z22" s="4"/>
      <c r="AA22" s="4"/>
      <c r="AB22" s="4"/>
      <c r="AC22" s="4"/>
      <c r="AD22" s="4"/>
      <c r="AE22" s="4"/>
      <c r="AF22" s="4"/>
      <c r="AG22" s="4"/>
      <c r="AH22" s="4"/>
      <c r="AI22" s="4"/>
      <c r="AJ22" s="4"/>
    </row>
    <row r="23" spans="2:72" x14ac:dyDescent="0.25">
      <c r="B23" s="1" t="s">
        <v>28</v>
      </c>
      <c r="C23" s="4">
        <v>55</v>
      </c>
      <c r="D23" s="4">
        <v>45</v>
      </c>
      <c r="E23" s="4">
        <v>58</v>
      </c>
      <c r="F23" s="4">
        <v>58</v>
      </c>
      <c r="G23" s="4">
        <v>121</v>
      </c>
      <c r="H23" s="4">
        <v>91</v>
      </c>
      <c r="I23" s="4">
        <v>70</v>
      </c>
      <c r="J23" s="4">
        <v>72</v>
      </c>
      <c r="K23" s="4"/>
      <c r="L23" s="4"/>
      <c r="M23" s="17">
        <v>25.9</v>
      </c>
      <c r="N23" s="17">
        <v>21.8</v>
      </c>
      <c r="O23" s="17">
        <v>27.1</v>
      </c>
      <c r="P23" s="17">
        <v>6.8</v>
      </c>
      <c r="Q23" s="17">
        <v>1.8</v>
      </c>
      <c r="R23" s="17">
        <v>-17.100000000000001</v>
      </c>
      <c r="S23" s="17">
        <v>-71.900000000000006</v>
      </c>
      <c r="T23" s="4">
        <f>-73-10-10+16</f>
        <v>-77</v>
      </c>
      <c r="U23" s="4">
        <f>-73-16+1+22</f>
        <v>-66</v>
      </c>
      <c r="V23" s="4">
        <f>-89+31-8</f>
        <v>-66</v>
      </c>
      <c r="W23" s="4">
        <f>-87+19-2</f>
        <v>-70</v>
      </c>
      <c r="X23" s="4">
        <f>-154+542+3</f>
        <v>391</v>
      </c>
      <c r="Y23" s="4">
        <v>-18</v>
      </c>
      <c r="Z23" s="4">
        <v>-64</v>
      </c>
      <c r="AA23" s="4">
        <v>-227</v>
      </c>
      <c r="AB23" s="4">
        <v>-131</v>
      </c>
      <c r="AC23" s="4">
        <v>216</v>
      </c>
      <c r="AD23" s="4">
        <f t="shared" ref="AD23" si="43">+SUM(G23:J23)</f>
        <v>354</v>
      </c>
      <c r="AE23" s="4">
        <f t="shared" ref="AE23:AJ23" si="44">+AD41*$AM$11</f>
        <v>2459.25</v>
      </c>
      <c r="AF23" s="4">
        <f t="shared" si="44"/>
        <v>3938.5552560000006</v>
      </c>
      <c r="AG23" s="4">
        <f t="shared" si="44"/>
        <v>5772.7246259556014</v>
      </c>
      <c r="AH23" s="4">
        <f t="shared" si="44"/>
        <v>8161.9955147858409</v>
      </c>
      <c r="AI23" s="4">
        <f t="shared" si="44"/>
        <v>11105.940409792784</v>
      </c>
      <c r="AJ23" s="4">
        <f t="shared" si="44"/>
        <v>14767.632178222748</v>
      </c>
    </row>
    <row r="24" spans="2:72" x14ac:dyDescent="0.25">
      <c r="B24" s="2" t="s">
        <v>29</v>
      </c>
      <c r="C24" s="3">
        <f t="shared" ref="C24:F24" si="45">+C21+C22+C23</f>
        <v>326</v>
      </c>
      <c r="D24" s="3">
        <f t="shared" si="45"/>
        <v>1492</v>
      </c>
      <c r="E24" s="3">
        <f t="shared" si="45"/>
        <v>1487</v>
      </c>
      <c r="F24" s="3">
        <f t="shared" si="45"/>
        <v>1645</v>
      </c>
      <c r="G24" s="3">
        <f>+G21+G22+G23</f>
        <v>1867</v>
      </c>
      <c r="H24" s="3">
        <f t="shared" ref="H24:J24" si="46">+H21+H22+H23</f>
        <v>1837</v>
      </c>
      <c r="I24" s="3">
        <f t="shared" si="46"/>
        <v>1746</v>
      </c>
      <c r="J24" s="3">
        <f t="shared" si="46"/>
        <v>1988</v>
      </c>
      <c r="K24" s="3"/>
      <c r="L24" s="3"/>
      <c r="M24" s="3">
        <f t="shared" ref="M24:S24" si="47">+M21+M22+M23</f>
        <v>46.200000000000067</v>
      </c>
      <c r="N24" s="3">
        <f t="shared" si="47"/>
        <v>85.499999999999929</v>
      </c>
      <c r="O24" s="3">
        <f t="shared" si="47"/>
        <v>142.39999999999984</v>
      </c>
      <c r="P24" s="3">
        <f t="shared" si="47"/>
        <v>104.3</v>
      </c>
      <c r="Q24" s="3">
        <f t="shared" si="47"/>
        <v>-33.300000000000139</v>
      </c>
      <c r="R24" s="3">
        <f t="shared" si="47"/>
        <v>-135.80000000000027</v>
      </c>
      <c r="S24" s="3">
        <f t="shared" si="47"/>
        <v>-357.9</v>
      </c>
      <c r="T24" s="3">
        <f t="shared" ref="T24" si="48">+T21+T22+T23</f>
        <v>-223.39999999999964</v>
      </c>
      <c r="U24" s="3">
        <f t="shared" ref="U24:Z24" si="49">+U21+U22+U23</f>
        <v>13</v>
      </c>
      <c r="V24" s="3">
        <f t="shared" si="49"/>
        <v>152</v>
      </c>
      <c r="W24" s="3">
        <f t="shared" si="49"/>
        <v>384</v>
      </c>
      <c r="X24" s="3">
        <f t="shared" si="49"/>
        <v>926</v>
      </c>
      <c r="Y24" s="3">
        <f t="shared" si="49"/>
        <v>279</v>
      </c>
      <c r="Z24" s="3">
        <f t="shared" si="49"/>
        <v>391</v>
      </c>
      <c r="AA24" s="3">
        <f t="shared" ref="AA24:AE24" si="50">+AA21+AA22+AA23</f>
        <v>321</v>
      </c>
      <c r="AB24" s="3">
        <f t="shared" si="50"/>
        <v>1727</v>
      </c>
      <c r="AC24" s="3">
        <f t="shared" si="50"/>
        <v>6215</v>
      </c>
      <c r="AD24" s="3">
        <f t="shared" si="50"/>
        <v>8020</v>
      </c>
      <c r="AE24" s="3">
        <f t="shared" si="50"/>
        <v>12026.872000000007</v>
      </c>
      <c r="AF24" s="3">
        <f t="shared" ref="AF24:AI24" si="51">+AF21+AF22+AF23</f>
        <v>14911.946097199998</v>
      </c>
      <c r="AG24" s="3">
        <f t="shared" si="51"/>
        <v>19424.966575855608</v>
      </c>
      <c r="AH24" s="3">
        <f t="shared" si="51"/>
        <v>23934.511341519847</v>
      </c>
      <c r="AI24" s="3">
        <f t="shared" si="51"/>
        <v>29769.851775853367</v>
      </c>
      <c r="AJ24" s="3">
        <f t="shared" ref="AJ24" si="52">+AJ21+AJ22+AJ23</f>
        <v>36039.844894279377</v>
      </c>
    </row>
    <row r="25" spans="2:72" x14ac:dyDescent="0.25">
      <c r="B25" s="1" t="s">
        <v>30</v>
      </c>
      <c r="C25" s="4">
        <v>127</v>
      </c>
      <c r="D25" s="4">
        <v>225</v>
      </c>
      <c r="E25" s="4">
        <v>263</v>
      </c>
      <c r="F25" s="4">
        <v>199</v>
      </c>
      <c r="G25" s="4">
        <v>334</v>
      </c>
      <c r="H25" s="4">
        <v>408</v>
      </c>
      <c r="I25" s="4">
        <v>219</v>
      </c>
      <c r="J25" s="4">
        <v>280</v>
      </c>
      <c r="K25" s="4"/>
      <c r="L25" s="4"/>
      <c r="M25" s="16">
        <v>23.4</v>
      </c>
      <c r="N25" s="16">
        <v>37.6</v>
      </c>
      <c r="O25" s="16">
        <v>57.7</v>
      </c>
      <c r="P25" s="16">
        <v>34.6</v>
      </c>
      <c r="Q25" s="16">
        <v>-21.7</v>
      </c>
      <c r="R25" s="16">
        <v>142.69999999999999</v>
      </c>
      <c r="S25" s="16">
        <v>-125.8</v>
      </c>
      <c r="T25" s="4">
        <v>50</v>
      </c>
      <c r="U25" s="4">
        <v>111</v>
      </c>
      <c r="V25" s="4">
        <v>-144</v>
      </c>
      <c r="W25" s="4">
        <v>60</v>
      </c>
      <c r="X25" s="4">
        <v>-127</v>
      </c>
      <c r="Y25" s="4">
        <v>580</v>
      </c>
      <c r="Z25" s="4">
        <v>-1511</v>
      </c>
      <c r="AA25" s="4">
        <v>88</v>
      </c>
      <c r="AB25" s="4">
        <v>452</v>
      </c>
      <c r="AC25" s="4">
        <v>814</v>
      </c>
      <c r="AD25" s="4">
        <f t="shared" ref="AD25" si="53">+SUM(G25:J25)</f>
        <v>1241</v>
      </c>
      <c r="AE25" s="4">
        <f t="shared" ref="AE25:AJ25" si="54">+AE24*0.18</f>
        <v>2164.836960000001</v>
      </c>
      <c r="AF25" s="4">
        <f t="shared" si="54"/>
        <v>2684.1502974959994</v>
      </c>
      <c r="AG25" s="4">
        <f t="shared" si="54"/>
        <v>3496.4939836540093</v>
      </c>
      <c r="AH25" s="4">
        <f t="shared" si="54"/>
        <v>4308.2120414735718</v>
      </c>
      <c r="AI25" s="4">
        <f t="shared" si="54"/>
        <v>5358.5733196536057</v>
      </c>
      <c r="AJ25" s="4">
        <f t="shared" si="54"/>
        <v>6487.1720809702874</v>
      </c>
    </row>
    <row r="26" spans="2:72" x14ac:dyDescent="0.25">
      <c r="B26" s="2" t="s">
        <v>31</v>
      </c>
      <c r="C26" s="3">
        <f t="shared" ref="C26:F26" si="55">+C24-C25</f>
        <v>199</v>
      </c>
      <c r="D26" s="3">
        <f t="shared" si="55"/>
        <v>1267</v>
      </c>
      <c r="E26" s="3">
        <f t="shared" si="55"/>
        <v>1224</v>
      </c>
      <c r="F26" s="3">
        <f t="shared" si="55"/>
        <v>1446</v>
      </c>
      <c r="G26" s="3">
        <f>+G24-G25</f>
        <v>1533</v>
      </c>
      <c r="H26" s="3">
        <f t="shared" ref="H26:J26" si="56">+H24-H25</f>
        <v>1429</v>
      </c>
      <c r="I26" s="3">
        <f t="shared" si="56"/>
        <v>1527</v>
      </c>
      <c r="J26" s="3">
        <f t="shared" si="56"/>
        <v>1708</v>
      </c>
      <c r="K26" s="3"/>
      <c r="L26" s="3"/>
      <c r="M26" s="3">
        <f t="shared" ref="M26:S26" si="57">+M24-M25</f>
        <v>22.800000000000068</v>
      </c>
      <c r="N26" s="3">
        <f t="shared" si="57"/>
        <v>47.899999999999928</v>
      </c>
      <c r="O26" s="3">
        <f t="shared" si="57"/>
        <v>84.699999999999832</v>
      </c>
      <c r="P26" s="3">
        <f t="shared" si="57"/>
        <v>69.699999999999989</v>
      </c>
      <c r="Q26" s="3">
        <f t="shared" si="57"/>
        <v>-11.60000000000014</v>
      </c>
      <c r="R26" s="3">
        <f t="shared" si="57"/>
        <v>-278.50000000000023</v>
      </c>
      <c r="S26" s="3">
        <f t="shared" si="57"/>
        <v>-232.09999999999997</v>
      </c>
      <c r="T26" s="3">
        <f t="shared" ref="T26" si="58">+T24-T25</f>
        <v>-273.39999999999964</v>
      </c>
      <c r="U26" s="3">
        <f t="shared" ref="U26:Z26" si="59">+U24-U25</f>
        <v>-98</v>
      </c>
      <c r="V26" s="3">
        <f t="shared" si="59"/>
        <v>296</v>
      </c>
      <c r="W26" s="3">
        <f t="shared" si="59"/>
        <v>324</v>
      </c>
      <c r="X26" s="3">
        <f t="shared" si="59"/>
        <v>1053</v>
      </c>
      <c r="Y26" s="3">
        <f t="shared" si="59"/>
        <v>-301</v>
      </c>
      <c r="Z26" s="3">
        <f t="shared" si="59"/>
        <v>1902</v>
      </c>
      <c r="AA26" s="3">
        <f t="shared" ref="AA26:AE26" si="60">+AA24-AA25</f>
        <v>233</v>
      </c>
      <c r="AB26" s="3">
        <f t="shared" si="60"/>
        <v>1275</v>
      </c>
      <c r="AC26" s="3">
        <f t="shared" si="60"/>
        <v>5401</v>
      </c>
      <c r="AD26" s="3">
        <f t="shared" si="60"/>
        <v>6779</v>
      </c>
      <c r="AE26" s="3">
        <f t="shared" si="60"/>
        <v>9862.0350400000061</v>
      </c>
      <c r="AF26" s="3">
        <f t="shared" ref="AF26:AI26" si="61">+AF24-AF25</f>
        <v>12227.795799703999</v>
      </c>
      <c r="AG26" s="3">
        <f t="shared" si="61"/>
        <v>15928.472592201599</v>
      </c>
      <c r="AH26" s="3">
        <f t="shared" si="61"/>
        <v>19626.299300046274</v>
      </c>
      <c r="AI26" s="3">
        <f t="shared" si="61"/>
        <v>24411.278456199761</v>
      </c>
      <c r="AJ26" s="3">
        <f t="shared" ref="AJ26" si="62">+AJ24-AJ25</f>
        <v>29552.672813309087</v>
      </c>
      <c r="AK26" s="3">
        <f t="shared" ref="AK26:BT26" si="63">+AJ26*(1+$AM$10)</f>
        <v>30439.252997708361</v>
      </c>
      <c r="AL26" s="3">
        <f t="shared" si="63"/>
        <v>31352.430587639614</v>
      </c>
      <c r="AM26" s="3">
        <f t="shared" si="63"/>
        <v>32293.003505268804</v>
      </c>
      <c r="AN26" s="3">
        <f t="shared" si="63"/>
        <v>33261.793610426867</v>
      </c>
      <c r="AO26" s="3">
        <f t="shared" si="63"/>
        <v>34259.647418739674</v>
      </c>
      <c r="AP26" s="3">
        <f t="shared" si="63"/>
        <v>35287.436841301867</v>
      </c>
      <c r="AQ26" s="3">
        <f t="shared" si="63"/>
        <v>36346.059946540925</v>
      </c>
      <c r="AR26" s="3">
        <f t="shared" si="63"/>
        <v>37436.441744937154</v>
      </c>
      <c r="AS26" s="3">
        <f t="shared" si="63"/>
        <v>38559.534997285271</v>
      </c>
      <c r="AT26" s="3">
        <f t="shared" si="63"/>
        <v>39716.321047203834</v>
      </c>
      <c r="AU26" s="3">
        <f t="shared" si="63"/>
        <v>40907.81067861995</v>
      </c>
      <c r="AV26" s="3">
        <f t="shared" si="63"/>
        <v>42135.044998978548</v>
      </c>
      <c r="AW26" s="3">
        <f t="shared" si="63"/>
        <v>43399.096348947904</v>
      </c>
      <c r="AX26" s="3">
        <f t="shared" si="63"/>
        <v>44701.069239416342</v>
      </c>
      <c r="AY26" s="3">
        <f t="shared" si="63"/>
        <v>46042.101316598833</v>
      </c>
      <c r="AZ26" s="3">
        <f t="shared" si="63"/>
        <v>47423.364356096798</v>
      </c>
      <c r="BA26" s="3">
        <f t="shared" si="63"/>
        <v>48846.065286779703</v>
      </c>
      <c r="BB26" s="3">
        <f t="shared" si="63"/>
        <v>50311.447245383097</v>
      </c>
      <c r="BC26" s="3">
        <f t="shared" si="63"/>
        <v>51820.790662744592</v>
      </c>
      <c r="BD26" s="3">
        <f t="shared" si="63"/>
        <v>53375.414382626928</v>
      </c>
      <c r="BE26" s="3">
        <f t="shared" si="63"/>
        <v>54976.67681410574</v>
      </c>
      <c r="BF26" s="3">
        <f t="shared" si="63"/>
        <v>56625.977118528914</v>
      </c>
      <c r="BG26" s="3">
        <f t="shared" si="63"/>
        <v>58324.756432084781</v>
      </c>
      <c r="BH26" s="3">
        <f t="shared" si="63"/>
        <v>60074.499125047325</v>
      </c>
      <c r="BI26" s="3">
        <f t="shared" si="63"/>
        <v>61876.734098798748</v>
      </c>
      <c r="BJ26" s="3">
        <f t="shared" si="63"/>
        <v>63733.036121762714</v>
      </c>
      <c r="BK26" s="3">
        <f t="shared" si="63"/>
        <v>65645.027205415594</v>
      </c>
      <c r="BL26" s="3">
        <f t="shared" si="63"/>
        <v>67614.378021578057</v>
      </c>
      <c r="BM26" s="3">
        <f t="shared" si="63"/>
        <v>69642.809362225395</v>
      </c>
      <c r="BN26" s="3">
        <f t="shared" si="63"/>
        <v>71732.093643092157</v>
      </c>
      <c r="BO26" s="3">
        <f t="shared" si="63"/>
        <v>73884.056452384917</v>
      </c>
      <c r="BP26" s="3">
        <f t="shared" si="63"/>
        <v>76100.578145956461</v>
      </c>
      <c r="BQ26" s="3">
        <f t="shared" si="63"/>
        <v>78383.595490335152</v>
      </c>
      <c r="BR26" s="3">
        <f t="shared" si="63"/>
        <v>80735.103355045212</v>
      </c>
      <c r="BS26" s="3">
        <f t="shared" si="63"/>
        <v>83157.156455696575</v>
      </c>
      <c r="BT26" s="3">
        <f t="shared" si="63"/>
        <v>85651.871149367478</v>
      </c>
    </row>
    <row r="27" spans="2:72" x14ac:dyDescent="0.25">
      <c r="B27" s="1" t="s">
        <v>32</v>
      </c>
      <c r="C27" s="4">
        <v>980</v>
      </c>
      <c r="D27" s="4">
        <v>986</v>
      </c>
      <c r="E27" s="4">
        <v>981</v>
      </c>
      <c r="F27" s="4">
        <v>983</v>
      </c>
      <c r="G27" s="4">
        <v>985</v>
      </c>
      <c r="H27" s="4">
        <v>973</v>
      </c>
      <c r="I27" s="4">
        <v>965</v>
      </c>
      <c r="J27" s="4">
        <v>974</v>
      </c>
      <c r="K27" s="4"/>
      <c r="L27" s="4"/>
      <c r="M27" s="4"/>
      <c r="N27" s="4"/>
      <c r="O27" s="4"/>
      <c r="P27" s="4"/>
      <c r="Q27" s="4"/>
      <c r="R27" s="4"/>
      <c r="S27" s="4"/>
      <c r="T27" s="4">
        <v>624</v>
      </c>
      <c r="U27" s="4">
        <v>662</v>
      </c>
      <c r="V27" s="4">
        <v>700</v>
      </c>
      <c r="W27" s="4">
        <v>735</v>
      </c>
      <c r="X27" s="4">
        <v>775</v>
      </c>
      <c r="Y27" s="4">
        <v>775</v>
      </c>
      <c r="Z27" s="4">
        <v>850</v>
      </c>
      <c r="AA27" s="4">
        <v>930</v>
      </c>
      <c r="AB27" s="4">
        <v>997</v>
      </c>
      <c r="AC27" s="4">
        <v>984</v>
      </c>
      <c r="AD27" s="4">
        <f>+AC27*0.985</f>
        <v>969.24</v>
      </c>
      <c r="AE27" s="4">
        <f t="shared" ref="AE27:AI27" si="64">+AD27*0.985</f>
        <v>954.70140000000004</v>
      </c>
      <c r="AF27" s="4">
        <f t="shared" si="64"/>
        <v>940.38087900000005</v>
      </c>
      <c r="AG27" s="4">
        <f t="shared" si="64"/>
        <v>926.27516581500004</v>
      </c>
      <c r="AH27" s="4">
        <f t="shared" si="64"/>
        <v>912.38103832777506</v>
      </c>
      <c r="AI27" s="4">
        <f t="shared" si="64"/>
        <v>898.69532275285837</v>
      </c>
      <c r="AJ27" s="4">
        <f t="shared" ref="AJ27" si="65">+AI27*0.985</f>
        <v>885.21489291156547</v>
      </c>
    </row>
    <row r="28" spans="2:72" x14ac:dyDescent="0.25">
      <c r="B28" s="1" t="s">
        <v>33</v>
      </c>
      <c r="C28" s="6">
        <f>+C26/C27</f>
        <v>0.20306122448979591</v>
      </c>
      <c r="D28" s="6">
        <f t="shared" ref="D28:J28" si="66">+D26/D27</f>
        <v>1.2849898580121704</v>
      </c>
      <c r="E28" s="6">
        <f t="shared" si="66"/>
        <v>1.2477064220183487</v>
      </c>
      <c r="F28" s="6">
        <f t="shared" si="66"/>
        <v>1.4710071210579858</v>
      </c>
      <c r="G28" s="6">
        <f t="shared" si="66"/>
        <v>1.5563451776649746</v>
      </c>
      <c r="H28" s="6">
        <f t="shared" si="66"/>
        <v>1.4686536485097637</v>
      </c>
      <c r="I28" s="6">
        <f t="shared" si="66"/>
        <v>1.5823834196891191</v>
      </c>
      <c r="J28" s="6">
        <f t="shared" si="66"/>
        <v>1.7535934291581108</v>
      </c>
      <c r="T28" s="6">
        <f t="shared" ref="T28" si="67">+T26/T27</f>
        <v>-0.43814102564102508</v>
      </c>
      <c r="U28" s="6">
        <f t="shared" ref="U28:Z28" si="68">+U26/U27</f>
        <v>-0.14803625377643503</v>
      </c>
      <c r="V28" s="6">
        <f t="shared" si="68"/>
        <v>0.42285714285714288</v>
      </c>
      <c r="W28" s="6">
        <f t="shared" si="68"/>
        <v>0.44081632653061226</v>
      </c>
      <c r="X28" s="6">
        <f t="shared" si="68"/>
        <v>1.3587096774193548</v>
      </c>
      <c r="Y28" s="6">
        <f t="shared" si="68"/>
        <v>-0.38838709677419353</v>
      </c>
      <c r="Z28" s="6">
        <f t="shared" si="68"/>
        <v>2.2376470588235295</v>
      </c>
      <c r="AA28" s="6">
        <f t="shared" ref="AA28:AE28" si="69">+AA26/AA27</f>
        <v>0.25053763440860216</v>
      </c>
      <c r="AB28" s="6">
        <f t="shared" si="69"/>
        <v>1.2788365095285859</v>
      </c>
      <c r="AC28" s="6">
        <f t="shared" si="69"/>
        <v>5.4888211382113825</v>
      </c>
      <c r="AD28" s="6">
        <f t="shared" si="69"/>
        <v>6.9941397383516986</v>
      </c>
      <c r="AE28" s="6">
        <f t="shared" si="69"/>
        <v>10.329968134539245</v>
      </c>
      <c r="AF28" s="6">
        <f t="shared" ref="AF28:AI28" si="70">+AF26/AF27</f>
        <v>13.003024702827883</v>
      </c>
      <c r="AG28" s="6">
        <f t="shared" si="70"/>
        <v>17.196264328415459</v>
      </c>
      <c r="AH28" s="6">
        <f t="shared" si="70"/>
        <v>21.51107758225405</v>
      </c>
      <c r="AI28" s="6">
        <f t="shared" si="70"/>
        <v>27.16301936614493</v>
      </c>
      <c r="AJ28" s="6">
        <f t="shared" ref="AJ28" si="71">+AJ26/AJ27</f>
        <v>33.384744258094457</v>
      </c>
    </row>
    <row r="30" spans="2:72" x14ac:dyDescent="0.25">
      <c r="B30" s="1" t="s">
        <v>96</v>
      </c>
      <c r="G30" s="7">
        <f t="shared" ref="G30:J34" si="72">+G2/C2-1</f>
        <v>0.10386740331491717</v>
      </c>
      <c r="H30" s="7">
        <f t="shared" si="72"/>
        <v>9.2875989445910356E-2</v>
      </c>
      <c r="I30" s="7">
        <f t="shared" si="72"/>
        <v>0.11175236096537255</v>
      </c>
      <c r="J30" s="7">
        <f t="shared" si="72"/>
        <v>8.3798882681564324E-2</v>
      </c>
      <c r="U30" s="7">
        <f t="shared" ref="U30:AJ30" si="73">+U2/T2-1</f>
        <v>0.10478919361440853</v>
      </c>
      <c r="V30" s="7">
        <f t="shared" si="73"/>
        <v>0.13397554649870314</v>
      </c>
      <c r="W30" s="7">
        <f t="shared" si="73"/>
        <v>0.1613082402143371</v>
      </c>
      <c r="X30" s="7">
        <f t="shared" si="73"/>
        <v>0.13665138001856891</v>
      </c>
      <c r="Y30" s="7">
        <f t="shared" si="73"/>
        <v>0.13811881188118802</v>
      </c>
      <c r="Z30" s="7">
        <f t="shared" si="73"/>
        <v>0.12896911700739455</v>
      </c>
      <c r="AA30" s="7">
        <f t="shared" si="73"/>
        <v>0.1537276054710075</v>
      </c>
      <c r="AB30" s="7">
        <f t="shared" si="73"/>
        <v>0.14059108365336459</v>
      </c>
      <c r="AC30" s="7">
        <f t="shared" si="73"/>
        <v>0.10964719660371824</v>
      </c>
      <c r="AD30" s="7">
        <f t="shared" si="73"/>
        <v>9.7889182058047419E-2</v>
      </c>
      <c r="AE30" s="7">
        <f t="shared" si="73"/>
        <v>8.0000000000000071E-2</v>
      </c>
      <c r="AF30" s="7">
        <f t="shared" si="73"/>
        <v>8.0000000000000071E-2</v>
      </c>
      <c r="AG30" s="7">
        <f t="shared" si="73"/>
        <v>8.0000000000000071E-2</v>
      </c>
      <c r="AH30" s="7">
        <f t="shared" si="73"/>
        <v>8.0000000000000071E-2</v>
      </c>
      <c r="AI30" s="7">
        <f t="shared" si="73"/>
        <v>8.0000000000000071E-2</v>
      </c>
      <c r="AJ30" s="7">
        <f t="shared" si="73"/>
        <v>8.0000000000000071E-2</v>
      </c>
    </row>
    <row r="31" spans="2:72" x14ac:dyDescent="0.25">
      <c r="B31" s="1" t="s">
        <v>97</v>
      </c>
      <c r="G31" s="7">
        <f t="shared" si="72"/>
        <v>0.11099796334012213</v>
      </c>
      <c r="H31" s="7">
        <f t="shared" si="72"/>
        <v>0.10151293313811616</v>
      </c>
      <c r="I31" s="7">
        <f t="shared" si="72"/>
        <v>0.10318225650916113</v>
      </c>
      <c r="J31" s="7">
        <f t="shared" si="72"/>
        <v>7.8313253012048278E-2</v>
      </c>
      <c r="U31" s="7">
        <f t="shared" ref="U31:AJ31" si="74">+U3/T3-1</f>
        <v>0.37691258900166624</v>
      </c>
      <c r="V31" s="7">
        <f t="shared" si="74"/>
        <v>0.27665309715040154</v>
      </c>
      <c r="W31" s="7">
        <f t="shared" si="74"/>
        <v>0.2397552462619037</v>
      </c>
      <c r="X31" s="7">
        <f t="shared" si="74"/>
        <v>0.25855896562510861</v>
      </c>
      <c r="Y31" s="7">
        <f t="shared" si="74"/>
        <v>0.2333609500138083</v>
      </c>
      <c r="Z31" s="7">
        <f t="shared" si="74"/>
        <v>0.20398566950291097</v>
      </c>
      <c r="AA31" s="7">
        <f t="shared" si="74"/>
        <v>0.2040171099125907</v>
      </c>
      <c r="AB31" s="7">
        <f t="shared" si="74"/>
        <v>0.13824528884769838</v>
      </c>
      <c r="AC31" s="7">
        <f t="shared" si="74"/>
        <v>0.11887637399918582</v>
      </c>
      <c r="AD31" s="7">
        <f t="shared" si="74"/>
        <v>9.8120072771376687E-2</v>
      </c>
      <c r="AE31" s="7">
        <f t="shared" si="74"/>
        <v>8.0000000000000071E-2</v>
      </c>
      <c r="AF31" s="7">
        <f t="shared" si="74"/>
        <v>8.0000000000000071E-2</v>
      </c>
      <c r="AG31" s="7">
        <f t="shared" si="74"/>
        <v>8.0000000000000071E-2</v>
      </c>
      <c r="AH31" s="7">
        <f t="shared" si="74"/>
        <v>8.0000000000000071E-2</v>
      </c>
      <c r="AI31" s="7">
        <f t="shared" si="74"/>
        <v>8.0000000000000071E-2</v>
      </c>
      <c r="AJ31" s="7">
        <f t="shared" si="74"/>
        <v>8.0000000000000071E-2</v>
      </c>
    </row>
    <row r="32" spans="2:72" x14ac:dyDescent="0.25">
      <c r="B32" s="1" t="s">
        <v>98</v>
      </c>
      <c r="G32" s="7">
        <f t="shared" si="72"/>
        <v>9.6362476068921454E-2</v>
      </c>
      <c r="H32" s="7">
        <f t="shared" si="72"/>
        <v>9.0354090354090255E-2</v>
      </c>
      <c r="I32" s="7">
        <f t="shared" si="72"/>
        <v>8.2443653618030854E-2</v>
      </c>
      <c r="J32" s="7">
        <f t="shared" si="72"/>
        <v>0.11511627906976751</v>
      </c>
      <c r="U32" s="7">
        <f t="shared" ref="U32:AJ32" si="75">+U4/T4-1</f>
        <v>0.38830001341741593</v>
      </c>
      <c r="V32" s="7">
        <f t="shared" si="75"/>
        <v>0.39325408330917155</v>
      </c>
      <c r="W32" s="7">
        <f t="shared" si="75"/>
        <v>0.33823529411764719</v>
      </c>
      <c r="X32" s="7">
        <f t="shared" si="75"/>
        <v>0.47936968691685666</v>
      </c>
      <c r="Y32" s="7">
        <f t="shared" si="75"/>
        <v>0.56727400140154161</v>
      </c>
      <c r="Z32" s="7">
        <f t="shared" si="75"/>
        <v>-0.25687458081824277</v>
      </c>
      <c r="AA32" s="7">
        <f t="shared" si="75"/>
        <v>0.35649819494584833</v>
      </c>
      <c r="AB32" s="7">
        <f t="shared" si="75"/>
        <v>0.32335329341317376</v>
      </c>
      <c r="AC32" s="7">
        <f t="shared" si="75"/>
        <v>0.10792693145634313</v>
      </c>
      <c r="AD32" s="7">
        <f t="shared" si="75"/>
        <v>9.6203297534412258E-2</v>
      </c>
      <c r="AE32" s="7">
        <f t="shared" si="75"/>
        <v>9.000000000000008E-2</v>
      </c>
      <c r="AF32" s="7">
        <f t="shared" si="75"/>
        <v>9.000000000000008E-2</v>
      </c>
      <c r="AG32" s="7">
        <f t="shared" si="75"/>
        <v>9.000000000000008E-2</v>
      </c>
      <c r="AH32" s="7">
        <f t="shared" si="75"/>
        <v>9.000000000000008E-2</v>
      </c>
      <c r="AI32" s="7">
        <f t="shared" si="75"/>
        <v>9.000000000000008E-2</v>
      </c>
      <c r="AJ32" s="7">
        <f t="shared" si="75"/>
        <v>9.000000000000008E-2</v>
      </c>
    </row>
    <row r="33" spans="2:36" x14ac:dyDescent="0.25">
      <c r="B33" s="1" t="s">
        <v>99</v>
      </c>
      <c r="G33" s="7">
        <f t="shared" si="72"/>
        <v>9.572649572649583E-2</v>
      </c>
      <c r="H33" s="7">
        <f t="shared" si="72"/>
        <v>5.6542810985460434E-2</v>
      </c>
      <c r="I33" s="7">
        <f t="shared" si="72"/>
        <v>8.4552845528455212E-2</v>
      </c>
      <c r="J33" s="7">
        <f t="shared" si="72"/>
        <v>6.5149136577707933E-2</v>
      </c>
      <c r="U33" s="7">
        <f t="shared" ref="U33:AJ33" si="76">+U5/T5-1</f>
        <v>0.29447852760736204</v>
      </c>
      <c r="V33" s="7">
        <f t="shared" si="76"/>
        <v>0.42684604800489212</v>
      </c>
      <c r="W33" s="7">
        <f t="shared" si="76"/>
        <v>0.44637308475302717</v>
      </c>
      <c r="X33" s="7">
        <f t="shared" si="76"/>
        <v>0.40603007630194821</v>
      </c>
      <c r="Y33" s="7">
        <f t="shared" si="76"/>
        <v>0.3203371970495259</v>
      </c>
      <c r="Z33" s="7">
        <f t="shared" si="76"/>
        <v>0.25019952114924182</v>
      </c>
      <c r="AA33" s="7">
        <f t="shared" si="76"/>
        <v>0.24545164379189277</v>
      </c>
      <c r="AB33" s="7">
        <f t="shared" si="76"/>
        <v>0.15735520246027668</v>
      </c>
      <c r="AC33" s="7">
        <f t="shared" si="76"/>
        <v>8.7688219663418998E-2</v>
      </c>
      <c r="AD33" s="7">
        <f t="shared" si="76"/>
        <v>7.5122149837133501E-2</v>
      </c>
      <c r="AE33" s="7">
        <f t="shared" si="76"/>
        <v>7.0000000000000062E-2</v>
      </c>
      <c r="AF33" s="7">
        <f t="shared" si="76"/>
        <v>7.0000000000000062E-2</v>
      </c>
      <c r="AG33" s="7">
        <f t="shared" si="76"/>
        <v>7.0000000000000062E-2</v>
      </c>
      <c r="AH33" s="7">
        <f t="shared" si="76"/>
        <v>7.0000000000000062E-2</v>
      </c>
      <c r="AI33" s="7">
        <f t="shared" si="76"/>
        <v>7.0000000000000062E-2</v>
      </c>
      <c r="AJ33" s="7">
        <f t="shared" si="76"/>
        <v>7.0000000000000062E-2</v>
      </c>
    </row>
    <row r="34" spans="2:36" x14ac:dyDescent="0.25">
      <c r="B34" s="1" t="s">
        <v>100</v>
      </c>
      <c r="G34" s="7">
        <f t="shared" si="72"/>
        <v>0.24226348364279393</v>
      </c>
      <c r="H34" s="7">
        <f t="shared" si="72"/>
        <v>0.13153456998313651</v>
      </c>
      <c r="I34" s="7">
        <f t="shared" si="72"/>
        <v>5.4618473895582387E-2</v>
      </c>
      <c r="J34" s="7">
        <f t="shared" si="72"/>
        <v>5.4087277197295558E-2</v>
      </c>
      <c r="U34" s="7"/>
      <c r="V34" s="7"/>
      <c r="W34" s="7"/>
      <c r="X34" s="7"/>
      <c r="Y34" s="7"/>
      <c r="Z34" s="7"/>
      <c r="AA34" s="7">
        <f t="shared" ref="AA34:AJ34" si="77">+AA6/Z6-1</f>
        <v>0.2819383259911894</v>
      </c>
      <c r="AB34" s="7">
        <f t="shared" si="77"/>
        <v>0.14670896114195076</v>
      </c>
      <c r="AC34" s="7">
        <f t="shared" si="77"/>
        <v>0.1961733517750115</v>
      </c>
      <c r="AD34" s="7">
        <f t="shared" si="77"/>
        <v>0.11293120061668915</v>
      </c>
      <c r="AE34" s="7">
        <f t="shared" si="77"/>
        <v>0.10000000000000009</v>
      </c>
      <c r="AF34" s="7">
        <f t="shared" si="77"/>
        <v>0.10000000000000009</v>
      </c>
      <c r="AG34" s="7">
        <f t="shared" si="77"/>
        <v>0.10000000000000009</v>
      </c>
      <c r="AH34" s="7">
        <f t="shared" si="77"/>
        <v>0.10000000000000009</v>
      </c>
      <c r="AI34" s="7">
        <f t="shared" si="77"/>
        <v>0.10000000000000009</v>
      </c>
      <c r="AJ34" s="7">
        <f t="shared" si="77"/>
        <v>0.10000000000000009</v>
      </c>
    </row>
    <row r="35" spans="2:36" x14ac:dyDescent="0.25">
      <c r="B35" s="1" t="s">
        <v>34</v>
      </c>
      <c r="C35" s="5"/>
      <c r="D35" s="5"/>
      <c r="E35" s="5"/>
      <c r="F35" s="5"/>
      <c r="G35" s="7">
        <f>+G11/C11-1</f>
        <v>0.10743300594155447</v>
      </c>
      <c r="H35" s="7">
        <f>+H11/D11-1</f>
        <v>8.3924212484017158E-2</v>
      </c>
      <c r="I35" s="7">
        <f>+I11/E11-1</f>
        <v>8.3027522935779752E-2</v>
      </c>
      <c r="J35" s="7">
        <f>+J11/F11-1</f>
        <v>7.6020243350920724E-2</v>
      </c>
      <c r="M35" s="7"/>
      <c r="N35" s="7">
        <f t="shared" ref="N35:AJ35" si="78">+N11/M11-1</f>
        <v>0.43822625884867095</v>
      </c>
      <c r="O35" s="7">
        <f t="shared" si="78"/>
        <v>0.21248142644873691</v>
      </c>
      <c r="P35" s="7">
        <f t="shared" si="78"/>
        <v>0.26922487745098045</v>
      </c>
      <c r="Q35" s="7">
        <f t="shared" si="78"/>
        <v>0.36775089010922701</v>
      </c>
      <c r="R35" s="7">
        <f t="shared" si="78"/>
        <v>0.42581072137657183</v>
      </c>
      <c r="S35" s="7">
        <f t="shared" si="78"/>
        <v>0.25974749350167103</v>
      </c>
      <c r="T35" s="7">
        <f t="shared" si="78"/>
        <v>0.31997052321296993</v>
      </c>
      <c r="U35" s="7">
        <f t="shared" si="78"/>
        <v>0.24069525085603694</v>
      </c>
      <c r="V35" s="7">
        <f t="shared" si="78"/>
        <v>0.26548672566371678</v>
      </c>
      <c r="W35" s="7">
        <f t="shared" si="78"/>
        <v>0.24925921536091034</v>
      </c>
      <c r="X35" s="7">
        <f t="shared" si="78"/>
        <v>0.26015180265654658</v>
      </c>
      <c r="Y35" s="7">
        <f t="shared" si="78"/>
        <v>0.28730612859509108</v>
      </c>
      <c r="Z35" s="7">
        <f t="shared" si="78"/>
        <v>0.24295239209264241</v>
      </c>
      <c r="AA35" s="7">
        <f t="shared" si="78"/>
        <v>0.24656502917372491</v>
      </c>
      <c r="AB35" s="7">
        <f t="shared" si="78"/>
        <v>0.18345160803261362</v>
      </c>
      <c r="AC35" s="7">
        <f t="shared" si="78"/>
        <v>0.11179510079101806</v>
      </c>
      <c r="AD35" s="8">
        <f t="shared" si="78"/>
        <v>8.7156094902028247E-2</v>
      </c>
      <c r="AE35" s="8">
        <f t="shared" si="78"/>
        <v>8.0642828869244232E-2</v>
      </c>
      <c r="AF35" s="8">
        <f t="shared" si="78"/>
        <v>8.0864731864649819E-2</v>
      </c>
      <c r="AG35" s="8">
        <f t="shared" si="78"/>
        <v>8.1080977662320253E-2</v>
      </c>
      <c r="AH35" s="8">
        <f t="shared" si="78"/>
        <v>8.1291764086635077E-2</v>
      </c>
      <c r="AI35" s="8">
        <f t="shared" si="78"/>
        <v>8.1497285443449252E-2</v>
      </c>
      <c r="AJ35" s="8">
        <f t="shared" si="78"/>
        <v>8.169773225535315E-2</v>
      </c>
    </row>
    <row r="36" spans="2:36" x14ac:dyDescent="0.25">
      <c r="C36" s="5"/>
      <c r="D36" s="5"/>
      <c r="E36" s="5"/>
      <c r="F36" s="5"/>
      <c r="G36" s="7"/>
      <c r="H36" s="5"/>
      <c r="I36" s="5"/>
      <c r="J36" s="5"/>
      <c r="U36" s="5"/>
      <c r="V36" s="5"/>
      <c r="W36" s="5"/>
      <c r="X36" s="5"/>
      <c r="Y36" s="5"/>
      <c r="Z36" s="5"/>
      <c r="AA36" s="5"/>
      <c r="AB36" s="5"/>
      <c r="AC36" s="5"/>
      <c r="AD36" s="5"/>
      <c r="AE36" s="5"/>
      <c r="AF36" s="5"/>
      <c r="AG36" s="5"/>
      <c r="AH36" s="5"/>
      <c r="AI36" s="5"/>
      <c r="AJ36" s="5"/>
    </row>
    <row r="37" spans="2:36" x14ac:dyDescent="0.25">
      <c r="B37" s="1" t="s">
        <v>35</v>
      </c>
      <c r="C37" s="7">
        <f t="shared" ref="C37:J37" si="79">+C15/C11</f>
        <v>0.74233054444040258</v>
      </c>
      <c r="D37" s="7">
        <f t="shared" si="79"/>
        <v>0.75438800418458674</v>
      </c>
      <c r="E37" s="7">
        <f t="shared" si="79"/>
        <v>0.75286697247706424</v>
      </c>
      <c r="F37" s="7">
        <f t="shared" si="79"/>
        <v>0.76870894799181655</v>
      </c>
      <c r="G37" s="7">
        <f t="shared" si="79"/>
        <v>0.7632760319719698</v>
      </c>
      <c r="H37" s="7">
        <f t="shared" si="79"/>
        <v>0.76847184986595174</v>
      </c>
      <c r="I37" s="7">
        <f t="shared" si="79"/>
        <v>0.77710715798390517</v>
      </c>
      <c r="J37" s="7">
        <f t="shared" si="79"/>
        <v>0.77814470129090363</v>
      </c>
      <c r="M37" s="7">
        <f t="shared" ref="M37:AJ37" si="80">+M15/M11</f>
        <v>0.77080272472285294</v>
      </c>
      <c r="N37" s="7">
        <f t="shared" si="80"/>
        <v>0.79522659732540857</v>
      </c>
      <c r="O37" s="7">
        <f t="shared" si="80"/>
        <v>0.80246629901960775</v>
      </c>
      <c r="P37" s="7">
        <f t="shared" si="80"/>
        <v>0.80459839478607209</v>
      </c>
      <c r="Q37" s="7">
        <f t="shared" si="80"/>
        <v>0.78429296271784688</v>
      </c>
      <c r="R37" s="7">
        <f t="shared" si="80"/>
        <v>0.7298551800965466</v>
      </c>
      <c r="S37" s="7">
        <f t="shared" si="80"/>
        <v>0.76212232866617535</v>
      </c>
      <c r="T37" s="7">
        <f t="shared" si="80"/>
        <v>0.75993747208575257</v>
      </c>
      <c r="U37" s="7">
        <f t="shared" si="80"/>
        <v>0.75191240437978102</v>
      </c>
      <c r="V37" s="7">
        <f t="shared" si="80"/>
        <v>0.73521393860376916</v>
      </c>
      <c r="W37" s="7">
        <f t="shared" si="80"/>
        <v>0.7369070208728653</v>
      </c>
      <c r="X37" s="7">
        <f t="shared" si="80"/>
        <v>0.74017467248908297</v>
      </c>
      <c r="Y37" s="7">
        <f t="shared" si="80"/>
        <v>0.75231021172066903</v>
      </c>
      <c r="Z37" s="7">
        <f t="shared" si="80"/>
        <v>0.74411820063993972</v>
      </c>
      <c r="AA37" s="7">
        <f t="shared" si="80"/>
        <v>0.7347878604861845</v>
      </c>
      <c r="AB37" s="7">
        <f t="shared" si="80"/>
        <v>0.73335034447563152</v>
      </c>
      <c r="AC37" s="7">
        <f t="shared" si="80"/>
        <v>0.75497030725535763</v>
      </c>
      <c r="AD37" s="7">
        <f t="shared" si="80"/>
        <v>0.77192241720543608</v>
      </c>
      <c r="AE37" s="7">
        <f t="shared" si="80"/>
        <v>0.77910032878350111</v>
      </c>
      <c r="AF37" s="7">
        <f t="shared" si="80"/>
        <v>0.77496622435373452</v>
      </c>
      <c r="AG37" s="7">
        <f t="shared" si="80"/>
        <v>0.78470831496368798</v>
      </c>
      <c r="AH37" s="7">
        <f t="shared" si="80"/>
        <v>0.78733111128844357</v>
      </c>
      <c r="AI37" s="7">
        <f t="shared" si="80"/>
        <v>0.78983902770439296</v>
      </c>
      <c r="AJ37" s="7">
        <f t="shared" si="80"/>
        <v>0.79223637812686232</v>
      </c>
    </row>
    <row r="38" spans="2:36" x14ac:dyDescent="0.25">
      <c r="B38" s="1" t="s">
        <v>36</v>
      </c>
      <c r="C38" s="7">
        <f t="shared" ref="C38:J38" si="81">+C21/C11</f>
        <v>4.9957560324966656E-2</v>
      </c>
      <c r="D38" s="7">
        <f t="shared" si="81"/>
        <v>0.17156805765430663</v>
      </c>
      <c r="E38" s="7">
        <f t="shared" si="81"/>
        <v>0.17213302752293577</v>
      </c>
      <c r="F38" s="7">
        <f t="shared" si="81"/>
        <v>0.17465274038979217</v>
      </c>
      <c r="G38" s="7">
        <f t="shared" si="81"/>
        <v>0.18712361765027921</v>
      </c>
      <c r="H38" s="7">
        <f t="shared" si="81"/>
        <v>0.1912064343163539</v>
      </c>
      <c r="I38" s="7">
        <f t="shared" si="81"/>
        <v>0.20044472681067343</v>
      </c>
      <c r="J38" s="7">
        <f t="shared" si="81"/>
        <v>0.18212748924246974</v>
      </c>
      <c r="M38" s="7">
        <f t="shared" ref="M38:AJ38" si="82">+M21/M11</f>
        <v>2.7113663683718536E-2</v>
      </c>
      <c r="N38" s="7">
        <f t="shared" si="82"/>
        <v>5.9156760772659675E-2</v>
      </c>
      <c r="O38" s="7">
        <f t="shared" si="82"/>
        <v>8.8311887254901841E-2</v>
      </c>
      <c r="P38" s="7">
        <f t="shared" si="82"/>
        <v>5.8837728561945572E-2</v>
      </c>
      <c r="Q38" s="7">
        <f t="shared" si="82"/>
        <v>-1.5486432825943145E-2</v>
      </c>
      <c r="R38" s="7">
        <f t="shared" si="82"/>
        <v>-3.6731031068201594E-2</v>
      </c>
      <c r="S38" s="7">
        <f t="shared" si="82"/>
        <v>-7.0253009088676002E-2</v>
      </c>
      <c r="T38" s="7">
        <f t="shared" si="82"/>
        <v>-2.7244305493523826E-2</v>
      </c>
      <c r="U38" s="7">
        <f t="shared" si="82"/>
        <v>1.184940752962352E-2</v>
      </c>
      <c r="V38" s="7">
        <f t="shared" si="82"/>
        <v>2.5838568211449569E-2</v>
      </c>
      <c r="W38" s="7">
        <f t="shared" si="82"/>
        <v>4.3074003795066415E-2</v>
      </c>
      <c r="X38" s="7">
        <f t="shared" si="82"/>
        <v>4.0280078301460624E-2</v>
      </c>
      <c r="Y38" s="7">
        <f t="shared" si="82"/>
        <v>1.7370452684524505E-2</v>
      </c>
      <c r="Z38" s="7">
        <f t="shared" si="82"/>
        <v>2.1409749670619236E-2</v>
      </c>
      <c r="AA38" s="7">
        <f t="shared" si="82"/>
        <v>2.0685489959232976E-2</v>
      </c>
      <c r="AB38" s="7">
        <f t="shared" si="82"/>
        <v>5.9262566981372798E-2</v>
      </c>
      <c r="AC38" s="7">
        <f t="shared" si="82"/>
        <v>0.17210316435723097</v>
      </c>
      <c r="AD38" s="7">
        <f t="shared" si="82"/>
        <v>0.20229581739015701</v>
      </c>
      <c r="AE38" s="7">
        <f t="shared" si="82"/>
        <v>0.23363608569860159</v>
      </c>
      <c r="AF38" s="7">
        <f t="shared" si="82"/>
        <v>0.24791648988852583</v>
      </c>
      <c r="AG38" s="7">
        <f t="shared" si="82"/>
        <v>0.28530561386009545</v>
      </c>
      <c r="AH38" s="7">
        <f t="shared" si="82"/>
        <v>0.30483471081273661</v>
      </c>
      <c r="AI38" s="7">
        <f t="shared" si="82"/>
        <v>0.33353443273705957</v>
      </c>
      <c r="AJ38" s="7">
        <f t="shared" si="82"/>
        <v>0.35143479650570375</v>
      </c>
    </row>
    <row r="39" spans="2:36" x14ac:dyDescent="0.25">
      <c r="B39" s="1" t="s">
        <v>149</v>
      </c>
      <c r="C39" s="7">
        <f>+C26/C11</f>
        <v>2.4129986661816417E-2</v>
      </c>
      <c r="D39" s="7">
        <f t="shared" ref="D39:J39" si="83">+D26/D11</f>
        <v>0.14727420667209112</v>
      </c>
      <c r="E39" s="7">
        <f t="shared" si="83"/>
        <v>0.14036697247706423</v>
      </c>
      <c r="F39" s="7">
        <f t="shared" si="83"/>
        <v>0.15570151825131906</v>
      </c>
      <c r="G39" s="7">
        <f t="shared" si="83"/>
        <v>0.16785284134457462</v>
      </c>
      <c r="H39" s="7">
        <f t="shared" si="83"/>
        <v>0.15324396782841823</v>
      </c>
      <c r="I39" s="7">
        <f t="shared" si="83"/>
        <v>0.16168996188055909</v>
      </c>
      <c r="J39" s="7">
        <f t="shared" si="83"/>
        <v>0.17091964375062543</v>
      </c>
      <c r="M39" s="7">
        <f t="shared" ref="M39:AJ39" si="84">+M26/M11</f>
        <v>3.0452784827033615E-2</v>
      </c>
      <c r="N39" s="7">
        <f t="shared" si="84"/>
        <v>4.4483655274888491E-2</v>
      </c>
      <c r="O39" s="7">
        <f t="shared" si="84"/>
        <v>6.4874387254901841E-2</v>
      </c>
      <c r="P39" s="7">
        <f t="shared" si="84"/>
        <v>4.206143262325749E-2</v>
      </c>
      <c r="Q39" s="7">
        <f t="shared" si="84"/>
        <v>-5.1180233840724199E-3</v>
      </c>
      <c r="R39" s="7">
        <f t="shared" si="84"/>
        <v>-8.6180220324297632E-2</v>
      </c>
      <c r="S39" s="7">
        <f t="shared" si="84"/>
        <v>-5.7013018914271671E-2</v>
      </c>
      <c r="T39" s="7">
        <f t="shared" si="84"/>
        <v>-5.0878368319190043E-2</v>
      </c>
      <c r="U39" s="7">
        <f t="shared" si="84"/>
        <v>-1.4699265036748163E-2</v>
      </c>
      <c r="V39" s="7">
        <f t="shared" si="84"/>
        <v>3.5083560507289321E-2</v>
      </c>
      <c r="W39" s="7">
        <f t="shared" si="84"/>
        <v>3.0740037950664136E-2</v>
      </c>
      <c r="X39" s="7">
        <f t="shared" si="84"/>
        <v>7.9280228881192585E-2</v>
      </c>
      <c r="Y39" s="7">
        <f t="shared" si="84"/>
        <v>-1.7604398175225171E-2</v>
      </c>
      <c r="Z39" s="7">
        <f t="shared" si="84"/>
        <v>8.9497459062676449E-2</v>
      </c>
      <c r="AA39" s="7">
        <f t="shared" si="84"/>
        <v>8.7951079571191304E-3</v>
      </c>
      <c r="AB39" s="7">
        <f t="shared" si="84"/>
        <v>4.0667262056647106E-2</v>
      </c>
      <c r="AC39" s="7">
        <f t="shared" si="84"/>
        <v>0.15494735634162435</v>
      </c>
      <c r="AD39" s="7">
        <f t="shared" si="84"/>
        <v>0.17888903549280907</v>
      </c>
      <c r="AE39" s="7">
        <f t="shared" si="84"/>
        <v>0.24082549078214538</v>
      </c>
      <c r="AF39" s="7">
        <f t="shared" si="84"/>
        <v>0.27625665189601206</v>
      </c>
      <c r="AG39" s="7">
        <f t="shared" si="84"/>
        <v>0.33287445882140027</v>
      </c>
      <c r="AH39" s="7">
        <f t="shared" si="84"/>
        <v>0.37931661233860792</v>
      </c>
      <c r="AI39" s="7">
        <f t="shared" si="84"/>
        <v>0.43624306569955246</v>
      </c>
      <c r="AJ39" s="7">
        <f t="shared" si="84"/>
        <v>0.48823494269148193</v>
      </c>
    </row>
    <row r="41" spans="2:36" x14ac:dyDescent="0.25">
      <c r="B41" s="1" t="s">
        <v>76</v>
      </c>
      <c r="C41" s="4"/>
      <c r="D41" s="4"/>
      <c r="E41" s="4"/>
      <c r="F41" s="4"/>
      <c r="G41" s="4">
        <f>+G42+G43+G50-G59-G60</f>
        <v>13219</v>
      </c>
      <c r="H41" s="4"/>
      <c r="I41" s="4">
        <f>+I42+I43+I50-I59-I60</f>
        <v>9170</v>
      </c>
      <c r="J41" s="4"/>
      <c r="T41" s="4"/>
      <c r="U41" s="4"/>
      <c r="V41" s="4"/>
      <c r="W41" s="4"/>
      <c r="X41" s="4"/>
      <c r="Y41" s="4"/>
      <c r="Z41" s="4"/>
      <c r="AA41" s="4"/>
      <c r="AB41" s="4">
        <f t="shared" ref="AB41:AC41" si="85">+AB42+AB43+AB50-AB59-AB60</f>
        <v>6579</v>
      </c>
      <c r="AC41" s="4">
        <f t="shared" si="85"/>
        <v>9616</v>
      </c>
      <c r="AD41" s="4">
        <f>+AC41+AD26</f>
        <v>16395</v>
      </c>
      <c r="AE41" s="4">
        <f t="shared" ref="AE41:AJ41" si="86">+AD41+AE26</f>
        <v>26257.035040000006</v>
      </c>
      <c r="AF41" s="4">
        <f t="shared" si="86"/>
        <v>38484.830839704009</v>
      </c>
      <c r="AG41" s="4">
        <f t="shared" si="86"/>
        <v>54413.30343190561</v>
      </c>
      <c r="AH41" s="4">
        <f t="shared" si="86"/>
        <v>74039.602731951891</v>
      </c>
      <c r="AI41" s="4">
        <f t="shared" si="86"/>
        <v>98450.881188151659</v>
      </c>
      <c r="AJ41" s="4">
        <f t="shared" si="86"/>
        <v>128003.55400146075</v>
      </c>
    </row>
    <row r="42" spans="2:36" x14ac:dyDescent="0.25">
      <c r="B42" s="1" t="s">
        <v>4</v>
      </c>
      <c r="C42" s="4"/>
      <c r="D42" s="4"/>
      <c r="E42" s="4"/>
      <c r="F42" s="4"/>
      <c r="G42" s="4">
        <v>9958</v>
      </c>
      <c r="H42" s="4"/>
      <c r="I42" s="4">
        <v>7997</v>
      </c>
      <c r="J42" s="4"/>
      <c r="T42" s="4"/>
      <c r="U42" s="4"/>
      <c r="V42" s="4"/>
      <c r="W42" s="4"/>
      <c r="X42" s="4"/>
      <c r="Y42" s="4"/>
      <c r="Z42" s="4"/>
      <c r="AA42" s="4"/>
      <c r="AB42" s="4">
        <v>7016</v>
      </c>
      <c r="AC42" s="4">
        <v>8472</v>
      </c>
      <c r="AD42" s="4">
        <v>8848</v>
      </c>
    </row>
    <row r="43" spans="2:36" x14ac:dyDescent="0.25">
      <c r="B43" s="1" t="s">
        <v>52</v>
      </c>
      <c r="C43" s="4"/>
      <c r="D43" s="4"/>
      <c r="E43" s="4"/>
      <c r="F43" s="4"/>
      <c r="G43" s="4">
        <v>7712</v>
      </c>
      <c r="H43" s="4"/>
      <c r="I43" s="4">
        <v>4760</v>
      </c>
      <c r="J43" s="4"/>
      <c r="T43" s="4"/>
      <c r="U43" s="4"/>
      <c r="V43" s="4"/>
      <c r="W43" s="4"/>
      <c r="X43" s="4"/>
      <c r="Y43" s="4"/>
      <c r="Z43" s="4"/>
      <c r="AA43" s="4"/>
      <c r="AB43" s="4">
        <v>5492</v>
      </c>
      <c r="AC43" s="4">
        <v>5722</v>
      </c>
      <c r="AD43" s="4">
        <v>5184</v>
      </c>
    </row>
    <row r="44" spans="2:36" x14ac:dyDescent="0.25">
      <c r="B44" s="1" t="s">
        <v>53</v>
      </c>
      <c r="C44" s="4"/>
      <c r="D44" s="4"/>
      <c r="E44" s="4"/>
      <c r="F44" s="4"/>
      <c r="G44" s="4">
        <v>4273</v>
      </c>
      <c r="H44" s="4"/>
      <c r="I44" s="4">
        <v>4741</v>
      </c>
      <c r="J44" s="4"/>
      <c r="T44" s="4"/>
      <c r="U44" s="4"/>
      <c r="V44" s="4"/>
      <c r="W44" s="4"/>
      <c r="X44" s="4"/>
      <c r="Y44" s="4"/>
      <c r="Z44" s="4"/>
      <c r="AA44" s="4"/>
      <c r="AB44" s="4">
        <v>10755</v>
      </c>
      <c r="AC44" s="4">
        <v>11414</v>
      </c>
      <c r="AD44" s="4">
        <v>11945</v>
      </c>
    </row>
    <row r="45" spans="2:36" x14ac:dyDescent="0.25">
      <c r="B45" s="1" t="s">
        <v>54</v>
      </c>
      <c r="C45" s="4"/>
      <c r="D45" s="4"/>
      <c r="E45" s="4"/>
      <c r="F45" s="4"/>
      <c r="G45" s="4">
        <v>1865</v>
      </c>
      <c r="I45" s="1">
        <v>1836</v>
      </c>
      <c r="AB45" s="4">
        <v>1776</v>
      </c>
      <c r="AC45" s="4">
        <v>1905</v>
      </c>
      <c r="AD45" s="4">
        <v>1971</v>
      </c>
    </row>
    <row r="46" spans="2:36" x14ac:dyDescent="0.25">
      <c r="B46" s="1" t="s">
        <v>56</v>
      </c>
      <c r="C46" s="4"/>
      <c r="D46" s="4"/>
      <c r="E46" s="4"/>
      <c r="F46" s="4"/>
      <c r="G46" s="4">
        <v>1796</v>
      </c>
      <c r="I46" s="1">
        <v>2091</v>
      </c>
      <c r="AB46" s="4">
        <v>1356</v>
      </c>
      <c r="AC46" s="4">
        <v>1561</v>
      </c>
      <c r="AD46" s="4">
        <v>1779</v>
      </c>
    </row>
    <row r="47" spans="2:36" x14ac:dyDescent="0.25">
      <c r="B47" s="1" t="s">
        <v>57</v>
      </c>
      <c r="C47" s="4"/>
      <c r="D47" s="4"/>
      <c r="E47" s="4"/>
      <c r="F47" s="4"/>
      <c r="G47" s="4">
        <v>3506</v>
      </c>
      <c r="I47" s="1">
        <v>3416</v>
      </c>
      <c r="AB47" s="4">
        <v>3702</v>
      </c>
      <c r="AC47" s="4">
        <v>3689</v>
      </c>
      <c r="AD47" s="4">
        <v>3236</v>
      </c>
    </row>
    <row r="48" spans="2:36" x14ac:dyDescent="0.25">
      <c r="B48" s="1" t="s">
        <v>58</v>
      </c>
      <c r="C48" s="4"/>
      <c r="D48" s="4"/>
      <c r="E48" s="4"/>
      <c r="F48" s="4"/>
      <c r="G48" s="4">
        <v>2255</v>
      </c>
      <c r="I48" s="1">
        <v>2167</v>
      </c>
      <c r="AB48" s="4">
        <v>2890</v>
      </c>
      <c r="AC48" s="4">
        <v>2366</v>
      </c>
      <c r="AD48" s="4">
        <v>2157</v>
      </c>
    </row>
    <row r="49" spans="2:30" x14ac:dyDescent="0.25">
      <c r="B49" s="1" t="s">
        <v>59</v>
      </c>
      <c r="C49" s="4"/>
      <c r="D49" s="4"/>
      <c r="E49" s="4"/>
      <c r="F49" s="4"/>
      <c r="G49" s="4">
        <v>2286</v>
      </c>
      <c r="I49" s="1">
        <v>2121</v>
      </c>
      <c r="AB49" s="4">
        <v>2697</v>
      </c>
      <c r="AC49" s="4">
        <v>2515</v>
      </c>
      <c r="AD49" s="4">
        <v>2475</v>
      </c>
    </row>
    <row r="50" spans="2:30" x14ac:dyDescent="0.25">
      <c r="B50" s="1" t="s">
        <v>60</v>
      </c>
      <c r="C50" s="4"/>
      <c r="D50" s="4"/>
      <c r="E50" s="4"/>
      <c r="F50" s="4"/>
      <c r="G50" s="4">
        <v>4978</v>
      </c>
      <c r="I50" s="1">
        <v>4845</v>
      </c>
      <c r="AB50" s="4">
        <v>4672</v>
      </c>
      <c r="AC50" s="4">
        <v>4848</v>
      </c>
      <c r="AD50" s="4">
        <v>4852</v>
      </c>
    </row>
    <row r="51" spans="2:30" x14ac:dyDescent="0.25">
      <c r="B51" s="1" t="s">
        <v>61</v>
      </c>
      <c r="C51" s="4"/>
      <c r="D51" s="4"/>
      <c r="E51" s="4"/>
      <c r="F51" s="4"/>
      <c r="G51" s="4">
        <v>48940</v>
      </c>
      <c r="I51" s="1">
        <v>49093</v>
      </c>
      <c r="AB51" s="4">
        <v>48568</v>
      </c>
      <c r="AC51" s="4">
        <v>48620</v>
      </c>
      <c r="AD51" s="4">
        <v>51283</v>
      </c>
    </row>
    <row r="52" spans="2:30" x14ac:dyDescent="0.25">
      <c r="B52" s="1" t="s">
        <v>62</v>
      </c>
      <c r="C52" s="4"/>
      <c r="D52" s="4"/>
      <c r="E52" s="4"/>
      <c r="F52" s="4"/>
      <c r="G52" s="4">
        <v>4869</v>
      </c>
      <c r="I52" s="1">
        <v>4119</v>
      </c>
      <c r="AB52" s="4">
        <v>7125</v>
      </c>
      <c r="AC52" s="4">
        <v>5278</v>
      </c>
      <c r="AD52" s="4">
        <v>4428</v>
      </c>
    </row>
    <row r="53" spans="2:30" x14ac:dyDescent="0.25">
      <c r="B53" s="1" t="s">
        <v>63</v>
      </c>
      <c r="C53" s="4"/>
      <c r="D53" s="4"/>
      <c r="E53" s="4"/>
      <c r="F53" s="4"/>
      <c r="G53" s="4">
        <v>3742</v>
      </c>
      <c r="I53" s="1">
        <v>4209</v>
      </c>
      <c r="AB53" s="4">
        <v>2800</v>
      </c>
      <c r="AC53" s="4">
        <v>3433</v>
      </c>
      <c r="AD53" s="4">
        <v>4770</v>
      </c>
    </row>
    <row r="54" spans="2:30" x14ac:dyDescent="0.25">
      <c r="B54" s="1" t="s">
        <v>64</v>
      </c>
      <c r="C54" s="4"/>
      <c r="D54" s="4"/>
      <c r="E54" s="4"/>
      <c r="F54" s="4"/>
      <c r="G54" s="4">
        <f>+SUM(G42:G53)</f>
        <v>96180</v>
      </c>
      <c r="I54" s="4">
        <f>+SUM(I42:I53)</f>
        <v>91395</v>
      </c>
      <c r="AB54" s="4">
        <f t="shared" ref="AB54" si="87">+SUM(AB42:AB53)</f>
        <v>98849</v>
      </c>
      <c r="AC54" s="4">
        <f>+SUM(AC42:AC53)</f>
        <v>99823</v>
      </c>
      <c r="AD54" s="4">
        <f t="shared" ref="AD54" si="88">+SUM(AD42:AD53)</f>
        <v>102928</v>
      </c>
    </row>
    <row r="55" spans="2:30" x14ac:dyDescent="0.25">
      <c r="C55" s="4"/>
      <c r="D55" s="4"/>
      <c r="E55" s="4"/>
      <c r="F55" s="4"/>
      <c r="G55" s="4"/>
      <c r="AB55" s="4"/>
      <c r="AC55" s="4"/>
      <c r="AD55" s="4"/>
    </row>
    <row r="56" spans="2:30" x14ac:dyDescent="0.25">
      <c r="B56" s="1" t="s">
        <v>65</v>
      </c>
      <c r="C56" s="4"/>
      <c r="D56" s="4"/>
      <c r="E56" s="4"/>
      <c r="F56" s="4"/>
      <c r="G56" s="4">
        <v>5520</v>
      </c>
      <c r="I56" s="1">
        <v>5331</v>
      </c>
      <c r="AB56" s="4">
        <v>6743</v>
      </c>
      <c r="AC56" s="4">
        <v>6111</v>
      </c>
      <c r="AD56" s="4">
        <v>6658</v>
      </c>
    </row>
    <row r="57" spans="2:30" x14ac:dyDescent="0.25">
      <c r="B57" s="1" t="s">
        <v>66</v>
      </c>
      <c r="C57" s="4"/>
      <c r="D57" s="4"/>
      <c r="E57" s="4"/>
      <c r="F57" s="4"/>
      <c r="G57" s="4">
        <v>568</v>
      </c>
      <c r="I57" s="1">
        <v>572</v>
      </c>
      <c r="AB57" s="4">
        <v>590</v>
      </c>
      <c r="AC57" s="4">
        <v>518</v>
      </c>
      <c r="AD57" s="4">
        <v>579</v>
      </c>
    </row>
    <row r="58" spans="2:30" x14ac:dyDescent="0.25">
      <c r="B58" s="1" t="s">
        <v>67</v>
      </c>
      <c r="C58" s="4"/>
      <c r="D58" s="4"/>
      <c r="E58" s="4"/>
      <c r="F58" s="4"/>
      <c r="G58" s="4">
        <v>16061</v>
      </c>
      <c r="I58" s="1">
        <v>13472</v>
      </c>
      <c r="AB58" s="4">
        <v>17376</v>
      </c>
      <c r="AC58" s="4">
        <v>19003</v>
      </c>
      <c r="AD58" s="4">
        <v>20743</v>
      </c>
    </row>
    <row r="59" spans="2:30" x14ac:dyDescent="0.25">
      <c r="B59" s="1" t="s">
        <v>68</v>
      </c>
      <c r="C59" s="4"/>
      <c r="D59" s="4"/>
      <c r="E59" s="4"/>
      <c r="F59" s="4"/>
      <c r="G59" s="4">
        <v>1000</v>
      </c>
      <c r="I59" s="1">
        <v>0</v>
      </c>
      <c r="AB59" s="4">
        <v>1182</v>
      </c>
      <c r="AC59" s="4">
        <v>999</v>
      </c>
      <c r="AD59" s="4">
        <v>0</v>
      </c>
    </row>
    <row r="60" spans="2:30" x14ac:dyDescent="0.25">
      <c r="B60" s="1" t="s">
        <v>69</v>
      </c>
      <c r="C60" s="4"/>
      <c r="D60" s="4"/>
      <c r="E60" s="4"/>
      <c r="F60" s="4"/>
      <c r="G60" s="4">
        <v>8429</v>
      </c>
      <c r="I60" s="1">
        <v>8432</v>
      </c>
      <c r="AB60" s="4">
        <v>9419</v>
      </c>
      <c r="AC60" s="4">
        <v>8427</v>
      </c>
      <c r="AD60" s="4">
        <v>8433</v>
      </c>
    </row>
    <row r="61" spans="2:30" x14ac:dyDescent="0.25">
      <c r="B61" s="1" t="s">
        <v>70</v>
      </c>
      <c r="C61" s="4"/>
      <c r="D61" s="4"/>
      <c r="E61" s="4"/>
      <c r="F61" s="4"/>
      <c r="G61" s="4">
        <v>2519</v>
      </c>
      <c r="I61" s="1">
        <v>2420</v>
      </c>
      <c r="AB61" s="4">
        <v>2897</v>
      </c>
      <c r="AC61" s="4">
        <v>2644</v>
      </c>
      <c r="AD61" s="4">
        <v>2380</v>
      </c>
    </row>
    <row r="62" spans="2:30" x14ac:dyDescent="0.25">
      <c r="B62" s="1" t="s">
        <v>71</v>
      </c>
      <c r="C62" s="4"/>
      <c r="D62" s="4"/>
      <c r="E62" s="4"/>
      <c r="F62" s="4"/>
      <c r="G62" s="4">
        <v>2400</v>
      </c>
      <c r="I62" s="1">
        <v>2643</v>
      </c>
      <c r="AB62" s="4">
        <v>2283</v>
      </c>
      <c r="AC62" s="4">
        <v>2475</v>
      </c>
      <c r="AD62" s="4">
        <v>2962</v>
      </c>
    </row>
    <row r="63" spans="2:30" x14ac:dyDescent="0.25">
      <c r="B63" s="1" t="s">
        <v>72</v>
      </c>
      <c r="C63" s="4"/>
      <c r="D63" s="4"/>
      <c r="E63" s="4"/>
      <c r="F63" s="4"/>
      <c r="G63" s="4">
        <f>+SUM(G56:G62)</f>
        <v>36497</v>
      </c>
      <c r="I63" s="4">
        <f>+SUM(I56:I62)</f>
        <v>32870</v>
      </c>
      <c r="AB63" s="4">
        <f t="shared" ref="AB63" si="89">+SUM(AB56:AB62)</f>
        <v>40490</v>
      </c>
      <c r="AC63" s="4">
        <f>+SUM(AC56:AC62)</f>
        <v>40177</v>
      </c>
      <c r="AD63" s="4">
        <f>+SUM(AD56:AD62)</f>
        <v>41755</v>
      </c>
    </row>
    <row r="64" spans="2:30" x14ac:dyDescent="0.25">
      <c r="B64" s="1" t="s">
        <v>73</v>
      </c>
      <c r="C64" s="4"/>
      <c r="D64" s="4"/>
      <c r="E64" s="4"/>
      <c r="F64" s="4"/>
      <c r="G64" s="4">
        <v>59683</v>
      </c>
      <c r="I64" s="4">
        <v>59683</v>
      </c>
      <c r="AB64" s="4">
        <f t="shared" ref="AB64:AC64" si="90">+AB54-AB63</f>
        <v>58359</v>
      </c>
      <c r="AC64" s="4">
        <f t="shared" si="90"/>
        <v>59646</v>
      </c>
      <c r="AD64" s="4">
        <f>+AD54-AD63</f>
        <v>61173</v>
      </c>
    </row>
    <row r="65" spans="2:32" x14ac:dyDescent="0.25">
      <c r="B65" s="1" t="s">
        <v>74</v>
      </c>
      <c r="C65" s="4"/>
      <c r="D65" s="4"/>
      <c r="E65" s="4"/>
      <c r="F65" s="4"/>
      <c r="G65" s="4">
        <f>+G63+G64</f>
        <v>96180</v>
      </c>
      <c r="I65" s="4">
        <f>+I63+I64</f>
        <v>92553</v>
      </c>
      <c r="AB65" s="4">
        <f t="shared" ref="AB65" si="91">+AB63+AB64</f>
        <v>98849</v>
      </c>
      <c r="AC65" s="4">
        <f>+AC63+AC64</f>
        <v>99823</v>
      </c>
      <c r="AD65" s="4">
        <f t="shared" ref="AD65" si="92">+AD63+AD64</f>
        <v>102928</v>
      </c>
    </row>
    <row r="66" spans="2:32" x14ac:dyDescent="0.25">
      <c r="AD66" s="4"/>
    </row>
    <row r="67" spans="2:32" x14ac:dyDescent="0.25">
      <c r="B67" s="1" t="s">
        <v>31</v>
      </c>
      <c r="C67" s="4">
        <f t="shared" ref="C67:F67" si="93">+C26</f>
        <v>199</v>
      </c>
      <c r="D67" s="4">
        <f t="shared" si="93"/>
        <v>1267</v>
      </c>
      <c r="E67" s="4">
        <f t="shared" si="93"/>
        <v>1224</v>
      </c>
      <c r="F67" s="4">
        <f t="shared" si="93"/>
        <v>1446</v>
      </c>
      <c r="G67" s="4">
        <f>+G26</f>
        <v>1533</v>
      </c>
      <c r="H67" s="4">
        <f t="shared" ref="H67" si="94">+H26</f>
        <v>1429</v>
      </c>
      <c r="I67" s="4">
        <f>+I26</f>
        <v>1527</v>
      </c>
      <c r="J67" s="1">
        <v>1708</v>
      </c>
      <c r="T67" s="4">
        <f t="shared" ref="T67:AA67" si="95">+T26</f>
        <v>-273.39999999999964</v>
      </c>
      <c r="U67" s="4">
        <f t="shared" si="95"/>
        <v>-98</v>
      </c>
      <c r="V67" s="4">
        <f t="shared" si="95"/>
        <v>296</v>
      </c>
      <c r="W67" s="4">
        <f t="shared" si="95"/>
        <v>324</v>
      </c>
      <c r="X67" s="4">
        <f t="shared" si="95"/>
        <v>1053</v>
      </c>
      <c r="Y67" s="4">
        <f t="shared" si="95"/>
        <v>-301</v>
      </c>
      <c r="Z67" s="4">
        <f t="shared" si="95"/>
        <v>1902</v>
      </c>
      <c r="AA67" s="4">
        <f t="shared" si="95"/>
        <v>233</v>
      </c>
      <c r="AB67" s="4">
        <v>208</v>
      </c>
      <c r="AC67" s="4">
        <v>4136</v>
      </c>
      <c r="AD67" s="4">
        <v>6197</v>
      </c>
    </row>
    <row r="68" spans="2:32" x14ac:dyDescent="0.25">
      <c r="B68" s="1" t="s">
        <v>77</v>
      </c>
      <c r="C68" s="4">
        <v>1254</v>
      </c>
      <c r="D68" s="4">
        <v>890</v>
      </c>
      <c r="E68" s="4">
        <v>862</v>
      </c>
      <c r="F68" s="4">
        <v>953</v>
      </c>
      <c r="G68" s="4">
        <v>879</v>
      </c>
      <c r="H68" s="4">
        <v>907</v>
      </c>
      <c r="I68" s="4">
        <v>814</v>
      </c>
      <c r="J68" s="4">
        <v>877</v>
      </c>
      <c r="AA68" s="4">
        <v>3298</v>
      </c>
      <c r="AB68" s="4">
        <v>3786</v>
      </c>
      <c r="AC68" s="4">
        <v>3959</v>
      </c>
      <c r="AD68" s="4">
        <v>3477</v>
      </c>
    </row>
    <row r="69" spans="2:32" x14ac:dyDescent="0.25">
      <c r="B69" s="1" t="s">
        <v>78</v>
      </c>
      <c r="C69" s="4">
        <v>470</v>
      </c>
      <c r="D69" s="4">
        <v>476</v>
      </c>
      <c r="E69" s="4">
        <v>482</v>
      </c>
      <c r="F69" s="4">
        <v>497</v>
      </c>
      <c r="G69" s="4">
        <v>517</v>
      </c>
      <c r="H69" s="4">
        <v>526</v>
      </c>
      <c r="I69" s="4">
        <v>525</v>
      </c>
      <c r="J69" s="4">
        <v>527</v>
      </c>
      <c r="AA69" s="4">
        <v>1348</v>
      </c>
      <c r="AB69" s="4">
        <v>1668</v>
      </c>
      <c r="AC69" s="4">
        <v>1925</v>
      </c>
      <c r="AD69" s="4">
        <v>2095</v>
      </c>
    </row>
    <row r="70" spans="2:32" x14ac:dyDescent="0.25">
      <c r="B70" s="1" t="s">
        <v>38</v>
      </c>
      <c r="C70" s="4">
        <v>696</v>
      </c>
      <c r="D70" s="4">
        <v>724</v>
      </c>
      <c r="E70" s="4">
        <v>693</v>
      </c>
      <c r="F70" s="4">
        <v>674</v>
      </c>
      <c r="G70" s="4">
        <v>750</v>
      </c>
      <c r="H70" s="4">
        <v>810</v>
      </c>
      <c r="I70" s="4">
        <v>820</v>
      </c>
      <c r="J70" s="4">
        <v>803</v>
      </c>
      <c r="AA70" s="4">
        <v>2779</v>
      </c>
      <c r="AB70" s="4">
        <v>3279</v>
      </c>
      <c r="AC70" s="4">
        <v>2787</v>
      </c>
      <c r="AD70" s="4">
        <v>3183</v>
      </c>
    </row>
    <row r="71" spans="2:32" x14ac:dyDescent="0.25">
      <c r="B71" s="1" t="s">
        <v>79</v>
      </c>
      <c r="C71" s="4">
        <v>141</v>
      </c>
      <c r="D71" s="4">
        <v>29</v>
      </c>
      <c r="E71" s="4">
        <v>72</v>
      </c>
      <c r="F71" s="4">
        <v>35</v>
      </c>
      <c r="G71" s="4">
        <v>-37</v>
      </c>
      <c r="H71" s="4">
        <v>37</v>
      </c>
      <c r="I71" s="4">
        <v>217</v>
      </c>
      <c r="J71" s="4">
        <v>-96</v>
      </c>
      <c r="AA71" s="4">
        <v>-1211</v>
      </c>
      <c r="AB71" s="4">
        <v>239</v>
      </c>
      <c r="AC71" s="4">
        <v>277</v>
      </c>
      <c r="AD71" s="4">
        <v>121</v>
      </c>
    </row>
    <row r="72" spans="2:32" x14ac:dyDescent="0.25">
      <c r="B72" s="1" t="s">
        <v>53</v>
      </c>
      <c r="C72" s="4">
        <v>6123</v>
      </c>
      <c r="D72" s="4">
        <v>-768</v>
      </c>
      <c r="E72" s="4">
        <v>550</v>
      </c>
      <c r="F72" s="4">
        <v>-6564</v>
      </c>
      <c r="G72" s="4">
        <v>7162</v>
      </c>
      <c r="H72" s="4">
        <v>-1136</v>
      </c>
      <c r="I72" s="4">
        <v>655</v>
      </c>
      <c r="J72" s="4">
        <v>-7171</v>
      </c>
      <c r="AA72" s="4">
        <v>-1824</v>
      </c>
      <c r="AB72" s="4">
        <v>-995</v>
      </c>
      <c r="AC72" s="4">
        <v>-659</v>
      </c>
      <c r="AD72" s="4">
        <v>-490</v>
      </c>
    </row>
    <row r="73" spans="2:32" x14ac:dyDescent="0.25">
      <c r="B73" s="1" t="s">
        <v>54</v>
      </c>
      <c r="C73" s="4">
        <v>-275</v>
      </c>
      <c r="D73" s="4">
        <v>-331</v>
      </c>
      <c r="E73" s="4">
        <v>-300</v>
      </c>
      <c r="F73" s="4">
        <v>-966</v>
      </c>
      <c r="G73" s="4">
        <v>-248</v>
      </c>
      <c r="H73" s="4">
        <v>-427</v>
      </c>
      <c r="I73" s="4">
        <v>-430</v>
      </c>
      <c r="J73" s="4">
        <v>-1016</v>
      </c>
      <c r="AA73" s="4">
        <v>-2283</v>
      </c>
      <c r="AB73" s="4">
        <v>-2345</v>
      </c>
      <c r="AC73" s="4">
        <v>-1872</v>
      </c>
      <c r="AD73" s="4">
        <v>-2121</v>
      </c>
    </row>
    <row r="74" spans="2:32" x14ac:dyDescent="0.25">
      <c r="B74" s="1" t="s">
        <v>55</v>
      </c>
      <c r="C74" s="4">
        <v>-291</v>
      </c>
      <c r="D74" s="4">
        <v>-52</v>
      </c>
      <c r="E74" s="4">
        <v>-407</v>
      </c>
      <c r="F74" s="4">
        <v>-93</v>
      </c>
      <c r="G74" s="4">
        <v>-514</v>
      </c>
      <c r="H74" s="4">
        <v>-477</v>
      </c>
      <c r="I74" s="4">
        <v>-272</v>
      </c>
      <c r="J74" s="4">
        <v>-232</v>
      </c>
      <c r="AA74" s="4">
        <v>114</v>
      </c>
      <c r="AB74" s="4">
        <v>-302</v>
      </c>
      <c r="AC74" s="4">
        <v>-843</v>
      </c>
      <c r="AD74" s="4">
        <v>-1495</v>
      </c>
    </row>
    <row r="75" spans="2:32" x14ac:dyDescent="0.25">
      <c r="B75" s="1" t="s">
        <v>65</v>
      </c>
      <c r="C75" s="4">
        <v>-1403</v>
      </c>
      <c r="D75" s="4">
        <v>-376</v>
      </c>
      <c r="E75" s="4">
        <v>172</v>
      </c>
      <c r="F75" s="4">
        <v>1129</v>
      </c>
      <c r="G75" s="4">
        <v>-755</v>
      </c>
      <c r="H75" s="4">
        <v>220</v>
      </c>
      <c r="I75" s="4">
        <v>32</v>
      </c>
      <c r="J75" s="4">
        <v>1592</v>
      </c>
      <c r="AA75" s="4">
        <v>507</v>
      </c>
      <c r="AB75" s="4">
        <v>528</v>
      </c>
      <c r="AC75" s="4">
        <v>-478</v>
      </c>
      <c r="AD75" s="4">
        <v>1089</v>
      </c>
    </row>
    <row r="76" spans="2:32" x14ac:dyDescent="0.25">
      <c r="B76" s="1" t="s">
        <v>66</v>
      </c>
      <c r="C76" s="4">
        <v>-168</v>
      </c>
      <c r="D76" s="4">
        <v>-167</v>
      </c>
      <c r="E76" s="4">
        <v>-139</v>
      </c>
      <c r="F76" s="4">
        <v>-147</v>
      </c>
      <c r="G76" s="4">
        <v>-85</v>
      </c>
      <c r="H76" s="4">
        <v>-158</v>
      </c>
      <c r="I76" s="4">
        <v>-144</v>
      </c>
      <c r="J76" s="4">
        <v>-161</v>
      </c>
      <c r="AA76" s="4">
        <v>-801</v>
      </c>
      <c r="AB76" s="4">
        <v>-699</v>
      </c>
      <c r="AC76" s="4">
        <v>-621</v>
      </c>
      <c r="AD76" s="4">
        <v>-548</v>
      </c>
    </row>
    <row r="77" spans="2:32" x14ac:dyDescent="0.25">
      <c r="B77" s="1" t="s">
        <v>67</v>
      </c>
      <c r="C77" s="4">
        <v>-2255</v>
      </c>
      <c r="D77" s="4">
        <v>-884</v>
      </c>
      <c r="E77" s="4">
        <v>-1677</v>
      </c>
      <c r="F77" s="4">
        <v>6439</v>
      </c>
      <c r="G77" s="4">
        <v>-2955</v>
      </c>
      <c r="H77" s="4">
        <v>-839</v>
      </c>
      <c r="I77" s="4">
        <v>-1761</v>
      </c>
      <c r="J77" s="4">
        <v>7139</v>
      </c>
      <c r="AA77" s="4">
        <v>2629</v>
      </c>
      <c r="AB77" s="4">
        <v>1744</v>
      </c>
      <c r="AC77" s="4">
        <v>1623</v>
      </c>
      <c r="AD77" s="4">
        <v>1584</v>
      </c>
    </row>
    <row r="78" spans="2:32" x14ac:dyDescent="0.25">
      <c r="B78" s="1" t="s">
        <v>37</v>
      </c>
      <c r="C78" s="4">
        <f t="shared" ref="C78:F78" si="96">+SUM(C67:C77)</f>
        <v>4491</v>
      </c>
      <c r="D78" s="4">
        <f t="shared" si="96"/>
        <v>808</v>
      </c>
      <c r="E78" s="4">
        <f t="shared" si="96"/>
        <v>1532</v>
      </c>
      <c r="F78" s="4">
        <f t="shared" si="96"/>
        <v>3403</v>
      </c>
      <c r="G78" s="4">
        <f>+SUM(G67:G77)</f>
        <v>6247</v>
      </c>
      <c r="H78" s="4">
        <f t="shared" ref="H78:J78" si="97">+SUM(H67:H77)</f>
        <v>892</v>
      </c>
      <c r="I78" s="4">
        <f t="shared" si="97"/>
        <v>1983</v>
      </c>
      <c r="J78" s="4">
        <f t="shared" si="97"/>
        <v>3970</v>
      </c>
      <c r="M78" s="4">
        <v>205.6</v>
      </c>
      <c r="N78" s="4">
        <v>229.6</v>
      </c>
      <c r="O78" s="4">
        <v>270.89999999999998</v>
      </c>
      <c r="P78" s="4">
        <v>459.1</v>
      </c>
      <c r="Q78" s="4">
        <v>591.5</v>
      </c>
      <c r="R78" s="4">
        <v>736.9</v>
      </c>
      <c r="S78" s="4">
        <v>845.5</v>
      </c>
      <c r="T78" s="4">
        <v>1181.4000000000001</v>
      </c>
      <c r="U78" s="4">
        <v>1672.1</v>
      </c>
      <c r="V78" s="4">
        <v>2162</v>
      </c>
      <c r="W78" s="4">
        <v>2738</v>
      </c>
      <c r="X78" s="4">
        <v>3398</v>
      </c>
      <c r="Y78" s="4">
        <v>4331</v>
      </c>
      <c r="Z78" s="4">
        <v>4801</v>
      </c>
      <c r="AA78" s="4">
        <v>6000</v>
      </c>
      <c r="AB78" s="4">
        <f t="shared" ref="AB78" si="98">+SUM(AB67:AB77)</f>
        <v>7111</v>
      </c>
      <c r="AC78" s="4">
        <f t="shared" ref="AC78:AD78" si="99">+SUM(AC67:AC77)</f>
        <v>10234</v>
      </c>
      <c r="AD78" s="4">
        <f t="shared" si="99"/>
        <v>13092</v>
      </c>
      <c r="AE78" s="4">
        <v>14450</v>
      </c>
      <c r="AF78" s="4">
        <v>16140</v>
      </c>
    </row>
    <row r="79" spans="2:32" x14ac:dyDescent="0.25">
      <c r="C79" s="4"/>
      <c r="D79" s="4"/>
      <c r="E79" s="4"/>
      <c r="F79" s="4"/>
      <c r="G79" s="4"/>
      <c r="H79" s="4"/>
      <c r="I79" s="4"/>
      <c r="J79" s="4"/>
      <c r="AD79" s="4"/>
    </row>
    <row r="80" spans="2:32" x14ac:dyDescent="0.25">
      <c r="B80" s="1" t="s">
        <v>80</v>
      </c>
      <c r="C80" s="4">
        <v>0</v>
      </c>
      <c r="D80" s="4">
        <v>0</v>
      </c>
      <c r="E80" s="4">
        <v>-82</v>
      </c>
      <c r="F80" s="4">
        <v>0</v>
      </c>
      <c r="G80" s="4">
        <v>-338</v>
      </c>
      <c r="H80" s="4">
        <v>0</v>
      </c>
      <c r="I80" s="4">
        <v>-179</v>
      </c>
      <c r="J80" s="4">
        <v>-2217</v>
      </c>
      <c r="AA80" s="1">
        <v>-14876</v>
      </c>
      <c r="AB80" s="1">
        <v>-439</v>
      </c>
      <c r="AC80" s="1">
        <v>-82</v>
      </c>
      <c r="AD80" s="4">
        <v>-2734</v>
      </c>
    </row>
    <row r="81" spans="2:30" x14ac:dyDescent="0.25">
      <c r="B81" s="1" t="s">
        <v>81</v>
      </c>
      <c r="C81" s="4">
        <v>-105</v>
      </c>
      <c r="D81" s="4">
        <v>-182</v>
      </c>
      <c r="E81" s="4">
        <v>-103</v>
      </c>
      <c r="F81" s="4">
        <v>-106</v>
      </c>
      <c r="G81" s="4">
        <v>-203</v>
      </c>
      <c r="H81" s="4">
        <v>-104</v>
      </c>
      <c r="I81" s="4">
        <v>-67</v>
      </c>
      <c r="J81" s="4">
        <v>-165</v>
      </c>
      <c r="AA81" s="1">
        <v>-1718</v>
      </c>
      <c r="AB81" s="1">
        <v>-550</v>
      </c>
      <c r="AC81" s="1">
        <v>-496</v>
      </c>
      <c r="AD81" s="4">
        <v>-539</v>
      </c>
    </row>
    <row r="82" spans="2:30" x14ac:dyDescent="0.25">
      <c r="B82" s="1" t="s">
        <v>82</v>
      </c>
      <c r="C82" s="4">
        <v>9</v>
      </c>
      <c r="D82" s="4">
        <v>13</v>
      </c>
      <c r="E82" s="4">
        <v>80</v>
      </c>
      <c r="F82" s="4">
        <v>6</v>
      </c>
      <c r="G82" s="4">
        <v>53</v>
      </c>
      <c r="H82" s="4">
        <v>52</v>
      </c>
      <c r="I82" s="4">
        <v>13</v>
      </c>
      <c r="J82" s="4">
        <v>8</v>
      </c>
      <c r="AA82" s="1">
        <v>2201</v>
      </c>
      <c r="AB82" s="1">
        <v>355</v>
      </c>
      <c r="AC82" s="1">
        <v>108</v>
      </c>
      <c r="AD82" s="4">
        <v>126</v>
      </c>
    </row>
    <row r="83" spans="2:30" x14ac:dyDescent="0.25">
      <c r="B83" s="1" t="s">
        <v>83</v>
      </c>
      <c r="C83" s="4">
        <v>-368</v>
      </c>
      <c r="D83" s="4">
        <v>-1798</v>
      </c>
      <c r="E83" s="4">
        <v>-661</v>
      </c>
      <c r="F83" s="4">
        <v>-934</v>
      </c>
      <c r="G83" s="4">
        <v>-3252</v>
      </c>
      <c r="H83" s="4">
        <v>-550</v>
      </c>
      <c r="I83" s="4">
        <v>-1239</v>
      </c>
      <c r="J83" s="4">
        <v>-1838</v>
      </c>
      <c r="AA83" s="1">
        <v>-5674</v>
      </c>
      <c r="AB83" s="1">
        <v>-4777</v>
      </c>
      <c r="AC83" s="1">
        <v>-3761</v>
      </c>
      <c r="AD83" s="4">
        <v>-6879</v>
      </c>
    </row>
    <row r="84" spans="2:30" x14ac:dyDescent="0.25">
      <c r="B84" s="1" t="s">
        <v>84</v>
      </c>
      <c r="C84" s="4">
        <v>269</v>
      </c>
      <c r="D84" s="4">
        <v>533</v>
      </c>
      <c r="E84" s="4">
        <v>315</v>
      </c>
      <c r="F84" s="4">
        <v>394</v>
      </c>
      <c r="G84" s="4">
        <v>616</v>
      </c>
      <c r="H84" s="4">
        <v>2482</v>
      </c>
      <c r="I84" s="4">
        <v>554</v>
      </c>
      <c r="J84" s="4">
        <v>491</v>
      </c>
      <c r="AA84" s="1">
        <v>4179</v>
      </c>
      <c r="AB84" s="1">
        <v>1771</v>
      </c>
      <c r="AC84" s="1">
        <v>1511</v>
      </c>
      <c r="AD84" s="4">
        <v>4143</v>
      </c>
    </row>
    <row r="85" spans="2:30" x14ac:dyDescent="0.25">
      <c r="B85" s="1" t="s">
        <v>85</v>
      </c>
      <c r="C85" s="4">
        <v>785</v>
      </c>
      <c r="D85" s="4">
        <v>462</v>
      </c>
      <c r="E85" s="4">
        <v>563</v>
      </c>
      <c r="F85" s="4">
        <v>319</v>
      </c>
      <c r="G85" s="4">
        <v>636</v>
      </c>
      <c r="H85" s="4">
        <v>898</v>
      </c>
      <c r="I85" s="4">
        <v>905</v>
      </c>
      <c r="J85" s="4">
        <v>939</v>
      </c>
      <c r="AA85" s="1">
        <v>2069</v>
      </c>
      <c r="AB85" s="1">
        <v>2449</v>
      </c>
      <c r="AC85" s="1">
        <v>2129</v>
      </c>
      <c r="AD85" s="4">
        <v>3378</v>
      </c>
    </row>
    <row r="86" spans="2:30" x14ac:dyDescent="0.25">
      <c r="B86" s="1" t="s">
        <v>86</v>
      </c>
      <c r="C86" s="4">
        <v>-243</v>
      </c>
      <c r="D86" s="4">
        <v>-180</v>
      </c>
      <c r="E86" s="4">
        <v>-166</v>
      </c>
      <c r="F86" s="4">
        <v>-147</v>
      </c>
      <c r="G86" s="4">
        <v>-163</v>
      </c>
      <c r="H86" s="4">
        <v>-137</v>
      </c>
      <c r="I86" s="4">
        <v>-204</v>
      </c>
      <c r="J86" s="4">
        <v>-154</v>
      </c>
      <c r="AA86" s="1">
        <v>-717</v>
      </c>
      <c r="AB86" s="1">
        <v>-798</v>
      </c>
      <c r="AC86" s="1">
        <v>-736</v>
      </c>
      <c r="AD86" s="4">
        <v>-658</v>
      </c>
    </row>
    <row r="87" spans="2:30" x14ac:dyDescent="0.25">
      <c r="B87" s="1" t="s">
        <v>87</v>
      </c>
      <c r="C87" s="4">
        <f t="shared" ref="C87:F87" si="100">+SUM(C80:C86)</f>
        <v>347</v>
      </c>
      <c r="D87" s="4">
        <f t="shared" si="100"/>
        <v>-1152</v>
      </c>
      <c r="E87" s="4">
        <f t="shared" si="100"/>
        <v>-54</v>
      </c>
      <c r="F87" s="4">
        <f t="shared" si="100"/>
        <v>-468</v>
      </c>
      <c r="G87" s="4">
        <f>+SUM(G80:G86)</f>
        <v>-2651</v>
      </c>
      <c r="H87" s="4">
        <f t="shared" ref="H87:J87" si="101">+SUM(H80:H86)</f>
        <v>2641</v>
      </c>
      <c r="I87" s="4">
        <f t="shared" si="101"/>
        <v>-217</v>
      </c>
      <c r="J87" s="4">
        <f t="shared" si="101"/>
        <v>-2936</v>
      </c>
      <c r="T87" s="4">
        <f t="shared" ref="T87:AD87" si="102">+SUM(T80:T86)</f>
        <v>0</v>
      </c>
      <c r="U87" s="4">
        <f t="shared" si="102"/>
        <v>0</v>
      </c>
      <c r="V87" s="4">
        <f t="shared" si="102"/>
        <v>0</v>
      </c>
      <c r="W87" s="4">
        <f t="shared" si="102"/>
        <v>0</v>
      </c>
      <c r="X87" s="4">
        <f t="shared" si="102"/>
        <v>0</v>
      </c>
      <c r="Y87" s="4">
        <f t="shared" si="102"/>
        <v>0</v>
      </c>
      <c r="Z87" s="4">
        <f t="shared" si="102"/>
        <v>0</v>
      </c>
      <c r="AA87" s="4">
        <f t="shared" si="102"/>
        <v>-14536</v>
      </c>
      <c r="AB87" s="4">
        <f t="shared" si="102"/>
        <v>-1989</v>
      </c>
      <c r="AC87" s="4">
        <f t="shared" si="102"/>
        <v>-1327</v>
      </c>
      <c r="AD87" s="4">
        <f t="shared" si="102"/>
        <v>-3163</v>
      </c>
    </row>
    <row r="88" spans="2:30" x14ac:dyDescent="0.25">
      <c r="C88" s="4"/>
      <c r="D88" s="4"/>
      <c r="E88" s="4"/>
      <c r="F88" s="4"/>
      <c r="G88" s="4"/>
      <c r="H88" s="4"/>
      <c r="I88" s="4"/>
      <c r="J88" s="4"/>
      <c r="AD88" s="4"/>
    </row>
    <row r="89" spans="2:30" x14ac:dyDescent="0.25">
      <c r="B89" s="1" t="s">
        <v>102</v>
      </c>
      <c r="C89" s="4"/>
      <c r="D89" s="4"/>
      <c r="E89" s="4"/>
      <c r="F89" s="4"/>
      <c r="G89" s="4"/>
      <c r="H89" s="4"/>
      <c r="I89" s="4"/>
      <c r="J89" s="4"/>
      <c r="AA89" s="1">
        <v>7906</v>
      </c>
      <c r="AD89" s="4"/>
    </row>
    <row r="90" spans="2:30" x14ac:dyDescent="0.25">
      <c r="B90" s="1" t="s">
        <v>103</v>
      </c>
      <c r="C90" s="4"/>
      <c r="D90" s="4"/>
      <c r="E90" s="4"/>
      <c r="F90" s="4"/>
      <c r="G90" s="4"/>
      <c r="H90" s="4"/>
      <c r="I90" s="4"/>
      <c r="J90" s="4"/>
      <c r="AA90" s="1">
        <v>-1197</v>
      </c>
      <c r="AD90" s="4"/>
    </row>
    <row r="91" spans="2:30" x14ac:dyDescent="0.25">
      <c r="B91" s="1" t="s">
        <v>88</v>
      </c>
      <c r="C91" s="4">
        <v>-2054</v>
      </c>
      <c r="D91" s="4">
        <v>-1949</v>
      </c>
      <c r="E91" s="4">
        <v>-1925</v>
      </c>
      <c r="F91" s="4">
        <v>-1692</v>
      </c>
      <c r="G91" s="4">
        <v>-2133</v>
      </c>
      <c r="H91" s="4">
        <v>-4335</v>
      </c>
      <c r="I91" s="4">
        <v>-1285</v>
      </c>
      <c r="J91" s="4">
        <v>-76</v>
      </c>
      <c r="AA91" s="1">
        <v>0</v>
      </c>
      <c r="AB91" s="1">
        <v>-4000</v>
      </c>
      <c r="AC91" s="1">
        <v>-7620</v>
      </c>
      <c r="AD91" s="4">
        <v>-7829</v>
      </c>
    </row>
    <row r="92" spans="2:30" x14ac:dyDescent="0.25">
      <c r="B92" s="1" t="s">
        <v>89</v>
      </c>
      <c r="C92" s="4">
        <v>449</v>
      </c>
      <c r="D92" s="4">
        <v>362</v>
      </c>
      <c r="E92" s="4">
        <v>274</v>
      </c>
      <c r="F92" s="4">
        <v>869</v>
      </c>
      <c r="G92" s="4">
        <v>533</v>
      </c>
      <c r="H92" s="4">
        <v>202</v>
      </c>
      <c r="I92" s="4">
        <v>321</v>
      </c>
      <c r="J92" s="4">
        <v>484</v>
      </c>
      <c r="AA92" s="1">
        <v>1289</v>
      </c>
      <c r="AB92" s="1">
        <v>861</v>
      </c>
      <c r="AC92" s="1">
        <v>1954</v>
      </c>
      <c r="AD92" s="4">
        <v>1540</v>
      </c>
    </row>
    <row r="93" spans="2:30" x14ac:dyDescent="0.25">
      <c r="B93" s="1" t="s">
        <v>90</v>
      </c>
      <c r="C93" s="4">
        <v>-110</v>
      </c>
      <c r="D93" s="4">
        <v>-282</v>
      </c>
      <c r="E93" s="4">
        <v>-114</v>
      </c>
      <c r="F93" s="4">
        <v>-123</v>
      </c>
      <c r="G93" s="4">
        <v>-120</v>
      </c>
      <c r="H93" s="4">
        <v>-285</v>
      </c>
      <c r="I93" s="4">
        <v>-100</v>
      </c>
      <c r="J93" s="4">
        <v>-98</v>
      </c>
      <c r="AA93" s="1">
        <v>-156</v>
      </c>
      <c r="AB93" s="1">
        <v>-419</v>
      </c>
      <c r="AC93" s="1">
        <v>-629</v>
      </c>
      <c r="AD93" s="4">
        <v>-603</v>
      </c>
    </row>
    <row r="94" spans="2:30" x14ac:dyDescent="0.25">
      <c r="B94" s="1" t="s">
        <v>91</v>
      </c>
      <c r="C94" s="4">
        <v>-1001</v>
      </c>
      <c r="D94" s="4">
        <v>-181</v>
      </c>
      <c r="E94" s="4">
        <v>0</v>
      </c>
      <c r="F94" s="4">
        <v>0</v>
      </c>
      <c r="G94" s="4">
        <v>0</v>
      </c>
      <c r="H94" s="4">
        <v>-1000</v>
      </c>
      <c r="I94" s="4">
        <v>0</v>
      </c>
      <c r="J94" s="4">
        <v>0</v>
      </c>
      <c r="AA94" s="1">
        <v>-4</v>
      </c>
      <c r="AB94" s="1">
        <v>-4</v>
      </c>
      <c r="AC94" s="1">
        <v>-1182</v>
      </c>
      <c r="AD94" s="4">
        <v>-1000</v>
      </c>
    </row>
    <row r="95" spans="2:30" x14ac:dyDescent="0.25">
      <c r="B95" s="1" t="s">
        <v>92</v>
      </c>
      <c r="C95" s="4">
        <v>0</v>
      </c>
      <c r="D95" s="4">
        <v>0</v>
      </c>
      <c r="E95" s="4">
        <v>0</v>
      </c>
      <c r="F95" s="4">
        <v>0</v>
      </c>
      <c r="G95" s="4">
        <v>-388</v>
      </c>
      <c r="H95" s="4">
        <v>-384</v>
      </c>
      <c r="I95" s="4">
        <v>-382</v>
      </c>
      <c r="J95" s="4">
        <v>-383</v>
      </c>
      <c r="AA95" s="1">
        <v>0</v>
      </c>
      <c r="AB95" s="1">
        <v>0</v>
      </c>
      <c r="AC95" s="1">
        <v>0</v>
      </c>
      <c r="AD95" s="4">
        <v>-1537</v>
      </c>
    </row>
    <row r="96" spans="2:30" x14ac:dyDescent="0.25">
      <c r="B96" s="1" t="s">
        <v>93</v>
      </c>
      <c r="C96" s="4">
        <f t="shared" ref="C96:F96" si="103">+SUM(C91:C95)</f>
        <v>-2716</v>
      </c>
      <c r="D96" s="4">
        <f t="shared" si="103"/>
        <v>-2050</v>
      </c>
      <c r="E96" s="4">
        <f t="shared" si="103"/>
        <v>-1765</v>
      </c>
      <c r="F96" s="4">
        <f t="shared" si="103"/>
        <v>-946</v>
      </c>
      <c r="G96" s="4">
        <f>+SUM(G91:G95)</f>
        <v>-2108</v>
      </c>
      <c r="H96" s="4">
        <f t="shared" ref="H96:J96" si="104">+SUM(H91:H95)</f>
        <v>-5802</v>
      </c>
      <c r="I96" s="4">
        <f t="shared" si="104"/>
        <v>-1446</v>
      </c>
      <c r="J96" s="4">
        <f t="shared" si="104"/>
        <v>-73</v>
      </c>
      <c r="T96" s="4">
        <f t="shared" ref="T96:AD96" si="105">+SUM(T91:T95)</f>
        <v>0</v>
      </c>
      <c r="U96" s="4">
        <f t="shared" si="105"/>
        <v>0</v>
      </c>
      <c r="V96" s="4">
        <f t="shared" si="105"/>
        <v>0</v>
      </c>
      <c r="W96" s="4">
        <f t="shared" si="105"/>
        <v>0</v>
      </c>
      <c r="X96" s="4">
        <f t="shared" si="105"/>
        <v>0</v>
      </c>
      <c r="Y96" s="4">
        <f t="shared" si="105"/>
        <v>0</v>
      </c>
      <c r="Z96" s="4">
        <f t="shared" si="105"/>
        <v>0</v>
      </c>
      <c r="AA96" s="4">
        <f>+SUM(AA89:AA95)</f>
        <v>7838</v>
      </c>
      <c r="AB96" s="4">
        <f t="shared" si="105"/>
        <v>-3562</v>
      </c>
      <c r="AC96" s="4">
        <f t="shared" si="105"/>
        <v>-7477</v>
      </c>
      <c r="AD96" s="4">
        <f t="shared" si="105"/>
        <v>-9429</v>
      </c>
    </row>
    <row r="97" spans="2:30" x14ac:dyDescent="0.25">
      <c r="B97" s="1" t="s">
        <v>94</v>
      </c>
      <c r="C97" s="4">
        <v>17</v>
      </c>
      <c r="D97" s="4">
        <v>11</v>
      </c>
      <c r="E97" s="4">
        <v>-32</v>
      </c>
      <c r="F97" s="4">
        <v>30</v>
      </c>
      <c r="G97" s="4">
        <v>-2</v>
      </c>
      <c r="H97" s="4">
        <v>-7</v>
      </c>
      <c r="I97" s="4">
        <v>-5</v>
      </c>
      <c r="J97" s="4"/>
      <c r="AA97" s="1">
        <v>-33</v>
      </c>
      <c r="AB97" s="1">
        <v>-8</v>
      </c>
      <c r="AC97" s="1">
        <v>26</v>
      </c>
      <c r="AD97" s="4">
        <v>-124</v>
      </c>
    </row>
    <row r="98" spans="2:30" x14ac:dyDescent="0.25">
      <c r="B98" s="1" t="s">
        <v>95</v>
      </c>
      <c r="C98" s="4">
        <f t="shared" ref="C98:F98" si="106">+C78+C87+C96+C97</f>
        <v>2139</v>
      </c>
      <c r="D98" s="4">
        <f t="shared" si="106"/>
        <v>-2383</v>
      </c>
      <c r="E98" s="4">
        <f t="shared" si="106"/>
        <v>-319</v>
      </c>
      <c r="F98" s="4">
        <f t="shared" si="106"/>
        <v>2019</v>
      </c>
      <c r="G98" s="4">
        <f>+G78+G87+G96+G97</f>
        <v>1486</v>
      </c>
      <c r="H98" s="4">
        <f t="shared" ref="H98:I98" si="107">+H78+H87+H96+H97</f>
        <v>-2276</v>
      </c>
      <c r="I98" s="4">
        <f t="shared" si="107"/>
        <v>315</v>
      </c>
      <c r="J98" s="4"/>
      <c r="T98" s="4">
        <f t="shared" ref="T98:AD98" si="108">+T78+T87+T96+T97</f>
        <v>1181.4000000000001</v>
      </c>
      <c r="U98" s="4">
        <f t="shared" si="108"/>
        <v>1672.1</v>
      </c>
      <c r="V98" s="4">
        <f t="shared" si="108"/>
        <v>2162</v>
      </c>
      <c r="W98" s="4">
        <f t="shared" si="108"/>
        <v>2738</v>
      </c>
      <c r="X98" s="4">
        <f t="shared" si="108"/>
        <v>3398</v>
      </c>
      <c r="Y98" s="4">
        <f t="shared" si="108"/>
        <v>4331</v>
      </c>
      <c r="Z98" s="4">
        <f t="shared" si="108"/>
        <v>4801</v>
      </c>
      <c r="AA98" s="4">
        <f t="shared" si="108"/>
        <v>-731</v>
      </c>
      <c r="AB98" s="4">
        <f t="shared" si="108"/>
        <v>1552</v>
      </c>
      <c r="AC98" s="4">
        <f t="shared" si="108"/>
        <v>1456</v>
      </c>
      <c r="AD98" s="4">
        <f t="shared" si="108"/>
        <v>376</v>
      </c>
    </row>
    <row r="99" spans="2:30" x14ac:dyDescent="0.25">
      <c r="AD99" s="4"/>
    </row>
    <row r="100" spans="2:30" x14ac:dyDescent="0.25">
      <c r="B100" s="1" t="s">
        <v>39</v>
      </c>
      <c r="C100" s="4">
        <f t="shared" ref="C100:F100" si="109">+C78+C86</f>
        <v>4248</v>
      </c>
      <c r="D100" s="4">
        <f t="shared" si="109"/>
        <v>628</v>
      </c>
      <c r="E100" s="4">
        <f t="shared" si="109"/>
        <v>1366</v>
      </c>
      <c r="F100" s="4">
        <f t="shared" si="109"/>
        <v>3256</v>
      </c>
      <c r="G100" s="4">
        <f>+G78+G86</f>
        <v>6084</v>
      </c>
      <c r="H100" s="4">
        <f>+H78+H86</f>
        <v>755</v>
      </c>
      <c r="I100" s="4">
        <f t="shared" ref="I100:J100" si="110">+I78+I86</f>
        <v>1779</v>
      </c>
      <c r="J100" s="4">
        <f t="shared" si="110"/>
        <v>3816</v>
      </c>
      <c r="AA100" s="4">
        <f t="shared" ref="AA100:AB100" si="111">+AA78+AA86</f>
        <v>5283</v>
      </c>
      <c r="AB100" s="4">
        <f t="shared" si="111"/>
        <v>6313</v>
      </c>
      <c r="AC100" s="4">
        <f>+AC78+AC86</f>
        <v>9498</v>
      </c>
      <c r="AD100" s="4">
        <f t="shared" ref="AD100" si="112">+AD78+AD86</f>
        <v>12434</v>
      </c>
    </row>
    <row r="101" spans="2:30" x14ac:dyDescent="0.25">
      <c r="B101" s="1" t="s">
        <v>125</v>
      </c>
      <c r="F101" s="4">
        <f t="shared" ref="F101:G101" si="113">+SUM(C100:F100)</f>
        <v>9498</v>
      </c>
      <c r="G101" s="4">
        <f t="shared" si="113"/>
        <v>11334</v>
      </c>
      <c r="H101" s="4">
        <f>+SUM(E100:H100)</f>
        <v>11461</v>
      </c>
      <c r="I101" s="4">
        <f t="shared" ref="I101" si="114">+SUM(F100:I100)</f>
        <v>11874</v>
      </c>
      <c r="J101" s="4">
        <f t="shared" ref="J101" si="115">+SUM(G100:J100)</f>
        <v>12434</v>
      </c>
      <c r="AD101" s="4"/>
    </row>
    <row r="102" spans="2:30" x14ac:dyDescent="0.25">
      <c r="B102" s="1" t="s">
        <v>151</v>
      </c>
      <c r="C102" s="7">
        <f t="shared" ref="C102:I102" si="116">+C100/C11</f>
        <v>0.51509639869043289</v>
      </c>
      <c r="D102" s="7">
        <f t="shared" si="116"/>
        <v>7.2997791468092529E-2</v>
      </c>
      <c r="E102" s="7">
        <f t="shared" si="116"/>
        <v>0.15665137614678898</v>
      </c>
      <c r="F102" s="7">
        <f t="shared" si="116"/>
        <v>0.35059760956175301</v>
      </c>
      <c r="G102" s="7">
        <f t="shared" si="116"/>
        <v>0.66615569911310635</v>
      </c>
      <c r="H102" s="7">
        <f t="shared" si="116"/>
        <v>8.0965147453083114E-2</v>
      </c>
      <c r="I102" s="7">
        <f t="shared" si="116"/>
        <v>0.18837357052096571</v>
      </c>
      <c r="J102" s="7">
        <f>+J100/J11</f>
        <v>0.38186730711498046</v>
      </c>
      <c r="AB102" s="7">
        <f t="shared" ref="AB102:AC102" si="117">+AB100/AB11</f>
        <v>0.20135876499106914</v>
      </c>
      <c r="AC102" s="7">
        <f t="shared" si="117"/>
        <v>0.27248472329804629</v>
      </c>
      <c r="AD102" s="7">
        <f>+AD100/AD11</f>
        <v>0.32811716585301492</v>
      </c>
    </row>
    <row r="103" spans="2:30" x14ac:dyDescent="0.25">
      <c r="AD103" s="4"/>
    </row>
    <row r="104" spans="2:30" x14ac:dyDescent="0.25">
      <c r="B104" s="1" t="s">
        <v>150</v>
      </c>
      <c r="AD104" s="4"/>
    </row>
    <row r="105" spans="2:30" x14ac:dyDescent="0.25">
      <c r="B105" s="1" t="s">
        <v>22</v>
      </c>
      <c r="C105" s="5">
        <f t="shared" ref="C105:I105" si="118">+C16/C$11</f>
        <v>0.14635625075785133</v>
      </c>
      <c r="D105" s="5">
        <f t="shared" si="118"/>
        <v>0.14181099616412879</v>
      </c>
      <c r="E105" s="5">
        <f t="shared" si="118"/>
        <v>0.13807339449541284</v>
      </c>
      <c r="F105" s="5">
        <f t="shared" si="118"/>
        <v>0.13728868310541617</v>
      </c>
      <c r="G105" s="5">
        <f t="shared" si="118"/>
        <v>0.14978648855797658</v>
      </c>
      <c r="H105" s="5">
        <f t="shared" si="118"/>
        <v>0.14466487935656835</v>
      </c>
      <c r="I105" s="5">
        <f t="shared" si="118"/>
        <v>0.14358322744599747</v>
      </c>
      <c r="J105" s="5">
        <f>+J16/J$11</f>
        <v>0.14209946962874012</v>
      </c>
      <c r="AD105" s="4"/>
    </row>
    <row r="106" spans="2:30" x14ac:dyDescent="0.25">
      <c r="B106" s="1" t="s">
        <v>23</v>
      </c>
      <c r="C106" s="5">
        <f t="shared" ref="C106:J106" si="119">+C17/C$11</f>
        <v>0.38244210015763308</v>
      </c>
      <c r="D106" s="5">
        <f t="shared" si="119"/>
        <v>0.36185051726142042</v>
      </c>
      <c r="E106" s="5">
        <f t="shared" si="119"/>
        <v>0.36387614678899083</v>
      </c>
      <c r="F106" s="5">
        <f t="shared" si="119"/>
        <v>0.37008721869279637</v>
      </c>
      <c r="G106" s="5">
        <f t="shared" si="119"/>
        <v>0.35464797985327934</v>
      </c>
      <c r="H106" s="5">
        <f t="shared" si="119"/>
        <v>0.34573726541554961</v>
      </c>
      <c r="I106" s="5">
        <f t="shared" si="119"/>
        <v>0.35186361711139347</v>
      </c>
      <c r="J106" s="5">
        <f t="shared" si="119"/>
        <v>0.34734314019813872</v>
      </c>
      <c r="AD106" s="4"/>
    </row>
    <row r="107" spans="2:30" x14ac:dyDescent="0.25">
      <c r="B107" s="1" t="s">
        <v>24</v>
      </c>
      <c r="C107" s="5">
        <f t="shared" ref="C107:J107" si="120">+C18/C$11</f>
        <v>7.7361464775069722E-2</v>
      </c>
      <c r="D107" s="5">
        <f t="shared" si="120"/>
        <v>7.3462745553876552E-2</v>
      </c>
      <c r="E107" s="5">
        <f t="shared" si="120"/>
        <v>7.247706422018349E-2</v>
      </c>
      <c r="F107" s="5">
        <f t="shared" si="120"/>
        <v>6.8052115860880807E-2</v>
      </c>
      <c r="G107" s="5">
        <f t="shared" si="120"/>
        <v>7.0842001532902654E-2</v>
      </c>
      <c r="H107" s="5">
        <f t="shared" si="120"/>
        <v>7.6246648793565686E-2</v>
      </c>
      <c r="I107" s="5">
        <f t="shared" si="120"/>
        <v>7.52858958068615E-2</v>
      </c>
      <c r="J107" s="5">
        <f t="shared" si="120"/>
        <v>7.6753727609326527E-2</v>
      </c>
      <c r="AD107" s="4"/>
    </row>
    <row r="108" spans="2:30" x14ac:dyDescent="0.25">
      <c r="AD108" s="4"/>
    </row>
    <row r="109" spans="2:30" x14ac:dyDescent="0.25">
      <c r="AD109" s="4"/>
    </row>
    <row r="110" spans="2:30" x14ac:dyDescent="0.25">
      <c r="AD110" s="4"/>
    </row>
    <row r="111" spans="2:30" x14ac:dyDescent="0.25">
      <c r="AD111" s="4"/>
    </row>
  </sheetData>
  <hyperlinks>
    <hyperlink ref="A1" location="main!A1" display="main" xr:uid="{AC2B2853-1883-4E73-AE6E-FED0283D6C07}"/>
  </hyperlinks>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E508B-8169-4DFD-8E06-7A23D9B63EDB}">
  <dimension ref="B2:D11"/>
  <sheetViews>
    <sheetView workbookViewId="0">
      <selection activeCell="D6" sqref="D6"/>
    </sheetView>
  </sheetViews>
  <sheetFormatPr defaultRowHeight="13.2" x14ac:dyDescent="0.25"/>
  <cols>
    <col min="1" max="1" width="8.88671875" style="1"/>
    <col min="2" max="2" width="18.109375" style="1" bestFit="1" customWidth="1"/>
    <col min="3" max="3" width="8.88671875" style="1"/>
    <col min="4" max="4" width="57.88671875" style="1" bestFit="1" customWidth="1"/>
    <col min="5" max="16384" width="8.88671875" style="1"/>
  </cols>
  <sheetData>
    <row r="2" spans="2:4" x14ac:dyDescent="0.25">
      <c r="B2" s="18" t="s">
        <v>128</v>
      </c>
      <c r="C2" s="18" t="s">
        <v>129</v>
      </c>
      <c r="D2" s="18" t="s">
        <v>130</v>
      </c>
    </row>
    <row r="3" spans="2:4" x14ac:dyDescent="0.25">
      <c r="B3" s="1" t="s">
        <v>131</v>
      </c>
      <c r="C3" s="1">
        <v>60</v>
      </c>
      <c r="D3" s="1" t="s">
        <v>132</v>
      </c>
    </row>
    <row r="4" spans="2:4" x14ac:dyDescent="0.25">
      <c r="B4" s="1" t="s">
        <v>133</v>
      </c>
      <c r="C4" s="1">
        <v>58</v>
      </c>
      <c r="D4" s="1" t="s">
        <v>134</v>
      </c>
    </row>
    <row r="5" spans="2:4" x14ac:dyDescent="0.25">
      <c r="B5" s="1" t="s">
        <v>135</v>
      </c>
      <c r="C5" s="1">
        <v>56</v>
      </c>
      <c r="D5" s="1" t="s">
        <v>136</v>
      </c>
    </row>
    <row r="6" spans="2:4" x14ac:dyDescent="0.25">
      <c r="B6" s="1" t="s">
        <v>137</v>
      </c>
      <c r="C6" s="1">
        <v>55</v>
      </c>
      <c r="D6" s="1" t="s">
        <v>138</v>
      </c>
    </row>
    <row r="7" spans="2:4" x14ac:dyDescent="0.25">
      <c r="B7" s="1" t="s">
        <v>139</v>
      </c>
      <c r="C7" s="1">
        <v>45</v>
      </c>
      <c r="D7" s="1" t="s">
        <v>140</v>
      </c>
    </row>
    <row r="8" spans="2:4" x14ac:dyDescent="0.25">
      <c r="B8" s="1" t="s">
        <v>141</v>
      </c>
      <c r="C8" s="1">
        <v>52</v>
      </c>
      <c r="D8" s="1" t="s">
        <v>142</v>
      </c>
    </row>
    <row r="9" spans="2:4" x14ac:dyDescent="0.25">
      <c r="B9" s="1" t="s">
        <v>143</v>
      </c>
      <c r="C9" s="1">
        <v>61</v>
      </c>
      <c r="D9" s="1" t="s">
        <v>144</v>
      </c>
    </row>
    <row r="10" spans="2:4" x14ac:dyDescent="0.25">
      <c r="B10" s="1" t="s">
        <v>145</v>
      </c>
      <c r="C10" s="1">
        <v>55</v>
      </c>
      <c r="D10" s="1" t="s">
        <v>146</v>
      </c>
    </row>
    <row r="11" spans="2:4" x14ac:dyDescent="0.25">
      <c r="B11" s="1" t="s">
        <v>147</v>
      </c>
      <c r="C11" s="1">
        <v>57</v>
      </c>
      <c r="D11" s="1"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executives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Duarte Morais</dc:creator>
  <cp:lastModifiedBy>Alexandre Duarte Morais</cp:lastModifiedBy>
  <dcterms:created xsi:type="dcterms:W3CDTF">2024-06-05T21:53:07Z</dcterms:created>
  <dcterms:modified xsi:type="dcterms:W3CDTF">2025-04-11T13:19:27Z</dcterms:modified>
</cp:coreProperties>
</file>