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Desktop/Models/"/>
    </mc:Choice>
  </mc:AlternateContent>
  <xr:revisionPtr revIDLastSave="495" documentId="8_{68EEEE89-2A98-48B1-A9EF-B3B4C076CDBA}" xr6:coauthVersionLast="47" xr6:coauthVersionMax="47" xr10:uidLastSave="{25FF8686-37ED-4183-BA57-17ED5FABCEBA}"/>
  <bookViews>
    <workbookView xWindow="28680" yWindow="-990" windowWidth="29040" windowHeight="15720" activeTab="1" xr2:uid="{D4E065FE-7C9A-4FDD-8974-6F746B64E816}"/>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92" i="2" l="1"/>
  <c r="Y90" i="2"/>
  <c r="X90" i="2"/>
  <c r="W90" i="2"/>
  <c r="V90" i="2"/>
  <c r="U90" i="2"/>
  <c r="T90" i="2"/>
  <c r="S90" i="2"/>
  <c r="R90" i="2"/>
  <c r="Y89" i="2"/>
  <c r="X89" i="2"/>
  <c r="W89" i="2"/>
  <c r="V89" i="2"/>
  <c r="U89" i="2"/>
  <c r="T89" i="2"/>
  <c r="S89" i="2"/>
  <c r="R89" i="2"/>
  <c r="Y88" i="2"/>
  <c r="X88" i="2"/>
  <c r="W88" i="2"/>
  <c r="V88" i="2"/>
  <c r="U88" i="2"/>
  <c r="T88" i="2"/>
  <c r="S88" i="2"/>
  <c r="R88" i="2"/>
  <c r="S21" i="2"/>
  <c r="S22" i="2" s="1"/>
  <c r="R21" i="2"/>
  <c r="Y19" i="2"/>
  <c r="X19" i="2"/>
  <c r="W19" i="2"/>
  <c r="V19" i="2"/>
  <c r="U19" i="2"/>
  <c r="Y20" i="2"/>
  <c r="X20" i="2"/>
  <c r="W20" i="2"/>
  <c r="V20" i="2"/>
  <c r="U20" i="2"/>
  <c r="T20" i="2"/>
  <c r="S20" i="2"/>
  <c r="R20" i="2"/>
  <c r="T19" i="2"/>
  <c r="S19" i="2"/>
  <c r="R19" i="2"/>
  <c r="Q90" i="2"/>
  <c r="P90" i="2"/>
  <c r="O90" i="2"/>
  <c r="Q89" i="2"/>
  <c r="P89" i="2"/>
  <c r="O89" i="2"/>
  <c r="P88" i="2"/>
  <c r="O88" i="2"/>
  <c r="Q88" i="2"/>
  <c r="Y18" i="2"/>
  <c r="X18" i="2"/>
  <c r="W18" i="2"/>
  <c r="V18" i="2"/>
  <c r="V42" i="2" s="1"/>
  <c r="U18" i="2"/>
  <c r="T18" i="2"/>
  <c r="S18" i="2"/>
  <c r="R18" i="2"/>
  <c r="Y42" i="2"/>
  <c r="X42" i="2"/>
  <c r="W42" i="2"/>
  <c r="U42" i="2"/>
  <c r="T42" i="2"/>
  <c r="S42" i="2"/>
  <c r="R42" i="2"/>
  <c r="Q15" i="2"/>
  <c r="Q18" i="2" s="1"/>
  <c r="Q42" i="2" s="1"/>
  <c r="P15" i="2"/>
  <c r="O15" i="2"/>
  <c r="Y38" i="2"/>
  <c r="X38" i="2"/>
  <c r="W38" i="2"/>
  <c r="V38" i="2"/>
  <c r="U38" i="2"/>
  <c r="T38" i="2"/>
  <c r="S38" i="2"/>
  <c r="Y15" i="2"/>
  <c r="X15" i="2"/>
  <c r="W15" i="2"/>
  <c r="V15" i="2"/>
  <c r="U15" i="2"/>
  <c r="T15" i="2"/>
  <c r="S15" i="2"/>
  <c r="R15" i="2"/>
  <c r="S10" i="2"/>
  <c r="T10" i="2" s="1"/>
  <c r="U10" i="2" s="1"/>
  <c r="V10" i="2" s="1"/>
  <c r="W10" i="2" s="1"/>
  <c r="X10" i="2" s="1"/>
  <c r="Y10" i="2" s="1"/>
  <c r="R10" i="2"/>
  <c r="S9" i="2"/>
  <c r="T9" i="2" s="1"/>
  <c r="U9" i="2" s="1"/>
  <c r="V9" i="2" s="1"/>
  <c r="W9" i="2" s="1"/>
  <c r="X9" i="2" s="1"/>
  <c r="Y9" i="2" s="1"/>
  <c r="R9" i="2"/>
  <c r="S8" i="2"/>
  <c r="T8" i="2" s="1"/>
  <c r="U8" i="2" s="1"/>
  <c r="V8" i="2" s="1"/>
  <c r="W8" i="2" s="1"/>
  <c r="X8" i="2" s="1"/>
  <c r="Y8" i="2" s="1"/>
  <c r="R8" i="2"/>
  <c r="X7" i="2"/>
  <c r="Y7" i="2"/>
  <c r="U7" i="2"/>
  <c r="V7" i="2" s="1"/>
  <c r="W7" i="2" s="1"/>
  <c r="T7" i="2"/>
  <c r="S7" i="2"/>
  <c r="R7" i="2"/>
  <c r="D15" i="2"/>
  <c r="C15" i="2"/>
  <c r="K35" i="2"/>
  <c r="J35" i="2"/>
  <c r="I35" i="2"/>
  <c r="H35" i="2"/>
  <c r="G35" i="2"/>
  <c r="K34" i="2"/>
  <c r="J34" i="2"/>
  <c r="I34" i="2"/>
  <c r="H34" i="2"/>
  <c r="G34" i="2"/>
  <c r="K33" i="2"/>
  <c r="J33" i="2"/>
  <c r="I33" i="2"/>
  <c r="H33" i="2"/>
  <c r="G33" i="2"/>
  <c r="K32" i="2"/>
  <c r="J32" i="2"/>
  <c r="I32" i="2"/>
  <c r="H32" i="2"/>
  <c r="G32" i="2"/>
  <c r="J7" i="2"/>
  <c r="H7" i="2"/>
  <c r="I7" i="2"/>
  <c r="Q35" i="2"/>
  <c r="P35" i="2"/>
  <c r="Q34" i="2"/>
  <c r="P34" i="2"/>
  <c r="Q33" i="2"/>
  <c r="P33" i="2"/>
  <c r="Q7" i="2"/>
  <c r="O7" i="2"/>
  <c r="P7" i="2"/>
  <c r="P32" i="2" s="1"/>
  <c r="L35" i="2"/>
  <c r="L34" i="2"/>
  <c r="L33" i="2"/>
  <c r="L32" i="2"/>
  <c r="F41" i="2"/>
  <c r="F40" i="2"/>
  <c r="F24" i="2"/>
  <c r="F22" i="2"/>
  <c r="F15" i="2"/>
  <c r="J24" i="2"/>
  <c r="J21" i="2"/>
  <c r="J20" i="2"/>
  <c r="J19" i="2"/>
  <c r="J17" i="2"/>
  <c r="J16" i="2"/>
  <c r="J13" i="2"/>
  <c r="J37" i="2" s="1"/>
  <c r="J12" i="2"/>
  <c r="J40" i="2" s="1"/>
  <c r="E41" i="2"/>
  <c r="E40" i="2"/>
  <c r="I41" i="2"/>
  <c r="H41" i="2"/>
  <c r="I40" i="2"/>
  <c r="H40" i="2"/>
  <c r="I37" i="2"/>
  <c r="I36" i="2"/>
  <c r="E24" i="2"/>
  <c r="E22" i="2"/>
  <c r="I24" i="2"/>
  <c r="I15" i="2"/>
  <c r="E15" i="2"/>
  <c r="E18" i="2" s="1"/>
  <c r="E42" i="2" s="1"/>
  <c r="L41" i="2"/>
  <c r="L40" i="2"/>
  <c r="L37" i="2"/>
  <c r="L36" i="2"/>
  <c r="H24" i="2"/>
  <c r="H22" i="2"/>
  <c r="I22" i="2"/>
  <c r="H15" i="2"/>
  <c r="H18" i="2" s="1"/>
  <c r="L24" i="2"/>
  <c r="L22" i="2"/>
  <c r="L15" i="2"/>
  <c r="L18" i="2" s="1"/>
  <c r="L42" i="2" s="1"/>
  <c r="R43" i="2"/>
  <c r="G85" i="2"/>
  <c r="K85" i="2"/>
  <c r="G41" i="2"/>
  <c r="G40" i="2"/>
  <c r="K41" i="2"/>
  <c r="K40" i="2"/>
  <c r="K37" i="2"/>
  <c r="K36" i="2"/>
  <c r="G22" i="2"/>
  <c r="K22" i="2"/>
  <c r="G15" i="2"/>
  <c r="G18" i="2" s="1"/>
  <c r="G42" i="2" s="1"/>
  <c r="K15" i="2"/>
  <c r="K18" i="2" s="1"/>
  <c r="K42" i="2" s="1"/>
  <c r="P81" i="2"/>
  <c r="O81" i="2"/>
  <c r="Q81" i="2"/>
  <c r="P67" i="2"/>
  <c r="O67" i="2"/>
  <c r="Q67" i="2"/>
  <c r="Q54" i="2"/>
  <c r="Q47" i="2"/>
  <c r="P22" i="2"/>
  <c r="P54" i="2"/>
  <c r="P47" i="2"/>
  <c r="O54" i="2"/>
  <c r="O47" i="2"/>
  <c r="Q41" i="2"/>
  <c r="P41" i="2"/>
  <c r="O41" i="2"/>
  <c r="P40" i="2"/>
  <c r="O40" i="2"/>
  <c r="Q40" i="2"/>
  <c r="Q37" i="2"/>
  <c r="P37" i="2"/>
  <c r="P36" i="2"/>
  <c r="Q36" i="2"/>
  <c r="Q22" i="2"/>
  <c r="O22" i="2"/>
  <c r="R22" i="2"/>
  <c r="R26" i="2"/>
  <c r="P18" i="2"/>
  <c r="P42" i="2" s="1"/>
  <c r="O18" i="2"/>
  <c r="O42" i="2" s="1"/>
  <c r="P1" i="2"/>
  <c r="Q1" i="2" s="1"/>
  <c r="R1" i="2" s="1"/>
  <c r="S1" i="2" s="1"/>
  <c r="T1" i="2" s="1"/>
  <c r="U1" i="2" s="1"/>
  <c r="V1" i="2" s="1"/>
  <c r="W1" i="2" s="1"/>
  <c r="X1" i="2" s="1"/>
  <c r="Y1" i="2" s="1"/>
  <c r="L7" i="1"/>
  <c r="L6" i="1"/>
  <c r="L3" i="1" a="1"/>
  <c r="L3" i="1" s="1"/>
  <c r="L5" i="1" s="1"/>
  <c r="L8" i="1" s="1"/>
  <c r="R27" i="2" l="1"/>
  <c r="R28" i="2" s="1"/>
  <c r="R92" i="2" s="1"/>
  <c r="S25" i="2" s="1"/>
  <c r="T21" i="2"/>
  <c r="U21" i="2" s="1"/>
  <c r="Q32" i="2"/>
  <c r="H23" i="2"/>
  <c r="H26" i="2" s="1"/>
  <c r="H28" i="2" s="1"/>
  <c r="J41" i="2"/>
  <c r="R38" i="2"/>
  <c r="I38" i="2"/>
  <c r="J15" i="2"/>
  <c r="J18" i="2" s="1"/>
  <c r="J42" i="2" s="1"/>
  <c r="J22" i="2"/>
  <c r="K23" i="2"/>
  <c r="K43" i="2" s="1"/>
  <c r="K38" i="2"/>
  <c r="H42" i="2"/>
  <c r="J38" i="2"/>
  <c r="I18" i="2"/>
  <c r="I42" i="2" s="1"/>
  <c r="L38" i="2"/>
  <c r="F18" i="2"/>
  <c r="F42" i="2" s="1"/>
  <c r="J36" i="2"/>
  <c r="H44" i="2"/>
  <c r="H30" i="2"/>
  <c r="H43" i="2"/>
  <c r="L23" i="2"/>
  <c r="E23" i="2"/>
  <c r="G23" i="2"/>
  <c r="S23" i="2"/>
  <c r="Q38" i="2"/>
  <c r="P38" i="2"/>
  <c r="Q23" i="2"/>
  <c r="P23" i="2"/>
  <c r="O23" i="2"/>
  <c r="S26" i="2" l="1"/>
  <c r="S27" i="2"/>
  <c r="S28" i="2" s="1"/>
  <c r="V21" i="2"/>
  <c r="U22" i="2"/>
  <c r="U23" i="2" s="1"/>
  <c r="T22" i="2"/>
  <c r="T23" i="2" s="1"/>
  <c r="J23" i="2"/>
  <c r="J43" i="2" s="1"/>
  <c r="K26" i="2"/>
  <c r="K28" i="2" s="1"/>
  <c r="K30" i="2" s="1"/>
  <c r="F23" i="2"/>
  <c r="F26" i="2" s="1"/>
  <c r="F28" i="2" s="1"/>
  <c r="I23" i="2"/>
  <c r="E26" i="2"/>
  <c r="E28" i="2" s="1"/>
  <c r="E43" i="2"/>
  <c r="I26" i="2"/>
  <c r="I28" i="2" s="1"/>
  <c r="I43" i="2"/>
  <c r="J26" i="2"/>
  <c r="J28" i="2" s="1"/>
  <c r="L26" i="2"/>
  <c r="L28" i="2" s="1"/>
  <c r="L43" i="2"/>
  <c r="G43" i="2"/>
  <c r="G26" i="2"/>
  <c r="G28" i="2" s="1"/>
  <c r="G30" i="2" s="1"/>
  <c r="K44" i="2"/>
  <c r="Q26" i="2"/>
  <c r="Q28" i="2" s="1"/>
  <c r="Q43" i="2"/>
  <c r="O26" i="2"/>
  <c r="O28" i="2" s="1"/>
  <c r="O43" i="2"/>
  <c r="P26" i="2"/>
  <c r="P28" i="2" s="1"/>
  <c r="P43" i="2"/>
  <c r="S92" i="2" l="1"/>
  <c r="T25" i="2" s="1"/>
  <c r="T26" i="2"/>
  <c r="W21" i="2"/>
  <c r="V22" i="2"/>
  <c r="V23" i="2" s="1"/>
  <c r="F43" i="2"/>
  <c r="J30" i="2"/>
  <c r="J44" i="2"/>
  <c r="F30" i="2"/>
  <c r="F44" i="2"/>
  <c r="E30" i="2"/>
  <c r="E44" i="2"/>
  <c r="L30" i="2"/>
  <c r="L44" i="2"/>
  <c r="I30" i="2"/>
  <c r="I44" i="2"/>
  <c r="G44" i="2"/>
  <c r="O44" i="2"/>
  <c r="O30" i="2"/>
  <c r="O46" i="2"/>
  <c r="O55" i="2" s="1"/>
  <c r="O85" i="2" s="1"/>
  <c r="Q44" i="2"/>
  <c r="Q30" i="2"/>
  <c r="Q46" i="2"/>
  <c r="Q55" i="2" s="1"/>
  <c r="P46" i="2"/>
  <c r="P55" i="2" s="1"/>
  <c r="P44" i="2"/>
  <c r="P30" i="2"/>
  <c r="T27" i="2" l="1"/>
  <c r="T28" i="2" s="1"/>
  <c r="W22" i="2"/>
  <c r="W23" i="2" s="1"/>
  <c r="X21" i="2"/>
  <c r="P85" i="2"/>
  <c r="P83" i="2"/>
  <c r="Q85" i="2"/>
  <c r="L10" i="1" s="1"/>
  <c r="Q83" i="2"/>
  <c r="O83" i="2"/>
  <c r="T92" i="2" l="1"/>
  <c r="U25" i="2" s="1"/>
  <c r="U26" i="2"/>
  <c r="Y21" i="2"/>
  <c r="Y22" i="2" s="1"/>
  <c r="Y23" i="2" s="1"/>
  <c r="X22" i="2"/>
  <c r="X23" i="2" s="1"/>
  <c r="U27" i="2" l="1"/>
  <c r="U28" i="2" s="1"/>
  <c r="U92" i="2" l="1"/>
  <c r="V25" i="2" s="1"/>
  <c r="V26" i="2"/>
  <c r="V27" i="2" l="1"/>
  <c r="V28" i="2" s="1"/>
  <c r="V92" i="2" l="1"/>
  <c r="W25" i="2" s="1"/>
  <c r="W26" i="2"/>
  <c r="W27" i="2" l="1"/>
  <c r="W28" i="2" s="1"/>
  <c r="W92" i="2" l="1"/>
  <c r="X25" i="2"/>
  <c r="X26" i="2" s="1"/>
  <c r="X27" i="2" s="1"/>
  <c r="X28" i="2" s="1"/>
  <c r="X92" i="2" s="1"/>
  <c r="Y25" i="2" s="1"/>
  <c r="Y26" i="2" l="1"/>
  <c r="Y27" i="2" l="1"/>
  <c r="Y28" i="2" s="1"/>
  <c r="Y92" i="2" l="1"/>
  <c r="Z28" i="2"/>
  <c r="AA28" i="2" s="1"/>
  <c r="AB28" i="2" s="1"/>
  <c r="AC28" i="2" s="1"/>
  <c r="AD28" i="2" s="1"/>
  <c r="AE28" i="2" s="1"/>
  <c r="AF28" i="2" s="1"/>
  <c r="AG28" i="2" s="1"/>
  <c r="AH28" i="2" s="1"/>
  <c r="AI28" i="2" s="1"/>
  <c r="AJ28" i="2" s="1"/>
  <c r="AK28" i="2" s="1"/>
  <c r="AL28" i="2" s="1"/>
  <c r="AM28" i="2" s="1"/>
  <c r="AN28" i="2" s="1"/>
  <c r="AO28" i="2" s="1"/>
  <c r="AP28" i="2" s="1"/>
  <c r="AQ28" i="2" s="1"/>
  <c r="AR28" i="2" s="1"/>
  <c r="AS28" i="2" s="1"/>
  <c r="AT28" i="2" s="1"/>
  <c r="AU28" i="2" s="1"/>
  <c r="AV28" i="2" s="1"/>
  <c r="AW28" i="2" s="1"/>
  <c r="AX28" i="2" s="1"/>
  <c r="AY28" i="2" s="1"/>
  <c r="AZ28" i="2" s="1"/>
  <c r="BA28" i="2" s="1"/>
  <c r="BB28" i="2" s="1"/>
  <c r="BC28" i="2" s="1"/>
  <c r="BD28" i="2" s="1"/>
  <c r="BE28" i="2" s="1"/>
  <c r="BF28" i="2" s="1"/>
  <c r="BG28" i="2" s="1"/>
  <c r="BH28" i="2" s="1"/>
  <c r="BI28" i="2" s="1"/>
  <c r="BJ28" i="2" s="1"/>
  <c r="BK28" i="2" s="1"/>
  <c r="AB6" i="2" s="1"/>
  <c r="AB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<sst xmlns="http://schemas.openxmlformats.org/spreadsheetml/2006/main" count="107" uniqueCount="93">
  <si>
    <t>ticket</t>
  </si>
  <si>
    <t>price</t>
  </si>
  <si>
    <t>shares</t>
  </si>
  <si>
    <t>mc</t>
  </si>
  <si>
    <t>cash</t>
  </si>
  <si>
    <t>debt</t>
  </si>
  <si>
    <t>ev</t>
  </si>
  <si>
    <t>main</t>
  </si>
  <si>
    <t>Service</t>
  </si>
  <si>
    <t>Products</t>
  </si>
  <si>
    <t>Revenue</t>
  </si>
  <si>
    <t>COGS Service</t>
  </si>
  <si>
    <t>COGS Product</t>
  </si>
  <si>
    <t>Gross Profit</t>
  </si>
  <si>
    <t>S&amp;M</t>
  </si>
  <si>
    <t>R&amp;D</t>
  </si>
  <si>
    <t>G&amp;A</t>
  </si>
  <si>
    <t>Total Opex</t>
  </si>
  <si>
    <t>Operating Income</t>
  </si>
  <si>
    <t>Net Interest</t>
  </si>
  <si>
    <t>Other income</t>
  </si>
  <si>
    <t>Pretax income</t>
  </si>
  <si>
    <t>Taxes</t>
  </si>
  <si>
    <t>Net Income</t>
  </si>
  <si>
    <t>Shares</t>
  </si>
  <si>
    <t>EPS</t>
  </si>
  <si>
    <t>Revenue y/y</t>
  </si>
  <si>
    <t>Gross Margin</t>
  </si>
  <si>
    <t>Operating Margin</t>
  </si>
  <si>
    <t>Net Margin</t>
  </si>
  <si>
    <t>D&amp;A</t>
  </si>
  <si>
    <t>Non-cash operating lease cost</t>
  </si>
  <si>
    <t>SBC</t>
  </si>
  <si>
    <t>Deferred income taxes</t>
  </si>
  <si>
    <t>Other</t>
  </si>
  <si>
    <t>urchases of loans held for sale</t>
  </si>
  <si>
    <t>principal repayments of loans held for sale</t>
  </si>
  <si>
    <t>CIOAL</t>
  </si>
  <si>
    <t>CFFO</t>
  </si>
  <si>
    <t>Sales of fund investments</t>
  </si>
  <si>
    <t>Maturities of fund investments</t>
  </si>
  <si>
    <t>Purchase of PPE</t>
  </si>
  <si>
    <t>Capitalization of internal use software</t>
  </si>
  <si>
    <t>Acquisitions</t>
  </si>
  <si>
    <t>Purchases of loans held for investments</t>
  </si>
  <si>
    <t>Sales of loans held for investment</t>
  </si>
  <si>
    <t>repayments of loans HFI</t>
  </si>
  <si>
    <t xml:space="preserve">Other </t>
  </si>
  <si>
    <t>CFFI</t>
  </si>
  <si>
    <t>Purchases of fund investments</t>
  </si>
  <si>
    <t>issuance of long-term debt</t>
  </si>
  <si>
    <t>Repayments of debt</t>
  </si>
  <si>
    <t>Proceeds from borrowings under unsecured revolving credit facility</t>
  </si>
  <si>
    <t>Repayments on borrowings under secured revolving credit facilities</t>
  </si>
  <si>
    <t xml:space="preserve"> issuance of stock under employee stock plans</t>
  </si>
  <si>
    <t>Payments for employee taxes withheld</t>
  </si>
  <si>
    <t>purchases of treasury stock</t>
  </si>
  <si>
    <t>Dividends</t>
  </si>
  <si>
    <t xml:space="preserve">Net change in funds receivable and funds payable </t>
  </si>
  <si>
    <t>CFFF</t>
  </si>
  <si>
    <t>Proceeds from borrowings under secured revolving credit facilities</t>
  </si>
  <si>
    <t>FX</t>
  </si>
  <si>
    <t>Net Change in cash</t>
  </si>
  <si>
    <t>FCF</t>
  </si>
  <si>
    <t>EV/FCF</t>
  </si>
  <si>
    <t>Intuit helps consumers and small and mid-market businesses prosper by delivering financial management, compliance, and marketing products and services</t>
  </si>
  <si>
    <t>specialized tax products to accounting professionals</t>
  </si>
  <si>
    <t>Q1 2023</t>
  </si>
  <si>
    <t>Q2 2023</t>
  </si>
  <si>
    <t>Q3 2023</t>
  </si>
  <si>
    <t>Q4 2023</t>
  </si>
  <si>
    <t>Q1 2024</t>
  </si>
  <si>
    <t>Q2 2024</t>
  </si>
  <si>
    <t>Q3 2024</t>
  </si>
  <si>
    <t>Q4 2024</t>
  </si>
  <si>
    <t>Q1 2025</t>
  </si>
  <si>
    <t>Q2 2025</t>
  </si>
  <si>
    <t>Q3 2025</t>
  </si>
  <si>
    <t>Global Business Solutions</t>
  </si>
  <si>
    <t>Consumer</t>
  </si>
  <si>
    <t xml:space="preserve">Credit Karma </t>
  </si>
  <si>
    <t>ProTax</t>
  </si>
  <si>
    <t>Online Services</t>
  </si>
  <si>
    <t>QuickBooks Online</t>
  </si>
  <si>
    <t xml:space="preserve">QuickBooks Desktop </t>
  </si>
  <si>
    <t>Desktop Services and Supplies</t>
  </si>
  <si>
    <t>%sales</t>
  </si>
  <si>
    <t>Net Cash</t>
  </si>
  <si>
    <t>ROIC</t>
  </si>
  <si>
    <t>Maturity</t>
  </si>
  <si>
    <t>Discount</t>
  </si>
  <si>
    <t>NPV</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</si>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</sst>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_([$$-409]* #,##0.00_);_([$$-409]* \(#,##0.00\);_([$$-409]* &quot;-&quot;??_);_(@_)"/>
    <numFmt numFmtId="165" formatCode="[$$-409]#,##0.00"/>
    <numFmt numFmtId="166" formatCode="0.0%"/>
    <numFmt numFmtId="167" formatCode="0.0\x"/>
  </numFmts>
  <fonts count="5" x14ac:knownFonts="1">
    <font>
      <sz val="11"/>
      <color theme="1"/>
      <name val="Aptos Narrow"/>
      <family val="2"/>
      <scheme val="minor"/>
    </font>
    <font>
      <sz val="10"/>
      <color theme="1"/>
      <name val="Arial"/>
      <family val="2"/>
    </font>
    <font>
      <b/>
      <sz val="10"/>
      <color theme="1"/>
      <name val="Arial"/>
      <family val="2"/>
    </font>
    <font>
      <u/>
      <sz val="11"/>
      <color theme="10"/>
      <name val="Aptos Narrow"/>
      <family val="2"/>
      <scheme val="minor"/>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xf numFmtId="164" fontId="1" fillId="0" borderId="0" xfId="0" applyNumberFormat="1" applyFont="1"/>
    <xf numFmtId="3" fontId="1" fillId="0" borderId="0" xfId="0" applyNumberFormat="1" applyFont="1"/>
    <xf numFmtId="0" fontId="2" fillId="0" borderId="0" xfId="0" applyFont="1"/>
    <xf numFmtId="0" fontId="4" fillId="0" borderId="0" xfId="1" applyFont="1"/>
    <xf numFmtId="3" fontId="2" fillId="0" borderId="0" xfId="0" applyNumberFormat="1" applyFont="1"/>
    <xf numFmtId="165" fontId="1" fillId="0" borderId="0" xfId="0" applyNumberFormat="1" applyFont="1"/>
    <xf numFmtId="166" fontId="1" fillId="0" borderId="0" xfId="0" applyNumberFormat="1" applyFont="1"/>
    <xf numFmtId="166" fontId="2" fillId="0" borderId="0" xfId="0" applyNumberFormat="1" applyFont="1"/>
    <xf numFmtId="167" fontId="1" fillId="0" borderId="0" xfId="0" applyNumberFormat="1" applyFont="1"/>
    <xf numFmtId="9" fontId="1" fillId="0" borderId="0" xfId="0" applyNumberFormat="1" applyFont="1"/>
    <xf numFmtId="8" fontId="1" fillId="0" borderId="0" xfId="0" applyNumberFormat="1" applyFont="1"/>
    <xf numFmtId="9"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16</xdr:col>
      <xdr:colOff>618067</xdr:colOff>
      <xdr:row>0</xdr:row>
      <xdr:rowOff>25400</xdr:rowOff>
    </xdr:from>
    <xdr:to>
      <xdr:col>17</xdr:col>
      <xdr:colOff>0</xdr:colOff>
      <xdr:row>89</xdr:row>
      <xdr:rowOff>50800</xdr:rowOff>
    </xdr:to>
    <xdr:cxnSp macro="">
      <xdr:nvCxnSpPr>
        <xdr:cNvPr id="3" name="Straight Connector 2">
          <a:extLst>
            <a:ext uri="{FF2B5EF4-FFF2-40B4-BE49-F238E27FC236}">
              <a16:creationId xmlns:a16="http://schemas.microsoft.com/office/drawing/2014/main" id="{F8201AE4-B29D-64AC-E6CF-9E63AE129F25}"/>
            </a:ext>
          </a:extLst>
        </xdr:cNvPr>
        <xdr:cNvCxnSpPr/>
      </xdr:nvCxnSpPr>
      <xdr:spPr>
        <a:xfrm>
          <a:off x="12242800" y="25400"/>
          <a:ext cx="8467" cy="1306406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16933</xdr:colOff>
      <xdr:row>0</xdr:row>
      <xdr:rowOff>0</xdr:rowOff>
    </xdr:from>
    <xdr:to>
      <xdr:col>12</xdr:col>
      <xdr:colOff>33867</xdr:colOff>
      <xdr:row>92</xdr:row>
      <xdr:rowOff>0</xdr:rowOff>
    </xdr:to>
    <xdr:cxnSp macro="">
      <xdr:nvCxnSpPr>
        <xdr:cNvPr id="8" name="Straight Connector 7">
          <a:extLst>
            <a:ext uri="{FF2B5EF4-FFF2-40B4-BE49-F238E27FC236}">
              <a16:creationId xmlns:a16="http://schemas.microsoft.com/office/drawing/2014/main" id="{8D6226CE-C63A-0AEF-8B4D-A491C997658C}"/>
            </a:ext>
          </a:extLst>
        </xdr:cNvPr>
        <xdr:cNvCxnSpPr/>
      </xdr:nvCxnSpPr>
      <xdr:spPr>
        <a:xfrm>
          <a:off x="9135533" y="0"/>
          <a:ext cx="16934" cy="1337733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https://www.bing.com/financeapi/forcetrigger?t=a1vmtc&amp;q=XNAS%3aINTU&amp;form=skydnc</v>
    <v>Learn more on Bing</v>
  </rv>
  <rv s="1">
    <v>en-GB</v>
    <v>a1vmtc</v>
    <v>268435456</v>
    <v>1</v>
    <v>Powered by Refinitiv</v>
    <v>0</v>
    <v>INTUIT INC. (XNAS:INTU)</v>
    <v>2</v>
    <v>3</v>
    <v>Finance</v>
    <v>4</v>
    <v>714.78</v>
    <v>532.64499999999998</v>
    <v>1.2363999999999999</v>
    <v>-2.97</v>
    <v>-5.143E-3</v>
    <v>USD</v>
    <v>Intuit Inc. offers financial technology platform that helps consumers and small and mid-market businesses prosper by delivering financial management, compliance, and marketing products and services. It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18800</v>
    <v>Nasdaq Stock Market</v>
    <v>XNAS</v>
    <v>XNAS</v>
    <v>2700 Coast Avenue, MOUNTAIN VIEW, CA, 94043 US</v>
    <v>582.5</v>
    <v>Financial Technology (Fintech) &amp; Infrastructure</v>
    <v>Stock</v>
    <v>45758.650127325782</v>
    <v>0</v>
    <v>569.46500000000003</v>
    <v>160608369000</v>
    <v>INTUIT INC.</v>
    <v>INTUIT INC.</v>
    <v>573.29</v>
    <v>53.964300000000001</v>
    <v>577.47</v>
    <v>574.5</v>
    <v>279562000</v>
    <v>INTU</v>
    <v>INTUIT INC. (XNAS:INTU)</v>
    <v>464022</v>
    <v>2018809</v>
    <v>1993</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2242A-24B3-4E3C-A0F3-7BF956C151F8}">
  <dimension ref="D2:L14"/>
  <sheetViews>
    <sheetView topLeftCell="D1" workbookViewId="0">
      <selection activeCell="L10" sqref="L10"/>
    </sheetView>
  </sheetViews>
  <sheetFormatPr defaultColWidth="9.109375" defaultRowHeight="13.2" x14ac:dyDescent="0.25"/>
  <cols>
    <col min="1" max="16384" width="9.109375" style="1"/>
  </cols>
  <sheetData>
    <row r="2" spans="4:12" x14ac:dyDescent="0.25">
      <c r="K2" s="4" t="s">
        <v>0</v>
      </c>
      <c r="L2" s="1" t="e" vm="1">
        <v>#VALUE!</v>
      </c>
    </row>
    <row r="3" spans="4:12" x14ac:dyDescent="0.25">
      <c r="K3" s="4" t="s">
        <v>1</v>
      </c>
      <c r="L3" s="2" cm="1">
        <f t="array" aca="1" ref="L3" ca="1">+_FV(L2,"Price")</f>
        <v>574.5</v>
      </c>
    </row>
    <row r="4" spans="4:12" x14ac:dyDescent="0.25">
      <c r="K4" s="4" t="s">
        <v>2</v>
      </c>
      <c r="L4" s="1">
        <v>284</v>
      </c>
    </row>
    <row r="5" spans="4:12" x14ac:dyDescent="0.25">
      <c r="K5" s="4" t="s">
        <v>3</v>
      </c>
      <c r="L5" s="3">
        <f ca="1">+L3*L4</f>
        <v>163158</v>
      </c>
    </row>
    <row r="6" spans="4:12" x14ac:dyDescent="0.25">
      <c r="K6" s="4" t="s">
        <v>4</v>
      </c>
      <c r="L6" s="3">
        <f>3609+465+779+3+131</f>
        <v>4987</v>
      </c>
    </row>
    <row r="7" spans="4:12" x14ac:dyDescent="0.25">
      <c r="K7" s="4" t="s">
        <v>5</v>
      </c>
      <c r="L7" s="3">
        <f>499+5539</f>
        <v>6038</v>
      </c>
    </row>
    <row r="8" spans="4:12" x14ac:dyDescent="0.25">
      <c r="K8" s="4" t="s">
        <v>6</v>
      </c>
      <c r="L8" s="3">
        <f ca="1">+L5-L6+L7</f>
        <v>164209</v>
      </c>
    </row>
    <row r="10" spans="4:12" x14ac:dyDescent="0.25">
      <c r="K10" s="1" t="s">
        <v>64</v>
      </c>
      <c r="L10" s="10">
        <f ca="1">+L8/model!Q85</f>
        <v>29.932373313889901</v>
      </c>
    </row>
    <row r="13" spans="4:12" x14ac:dyDescent="0.25">
      <c r="D13" s="1" t="s">
        <v>65</v>
      </c>
    </row>
    <row r="14" spans="4:12" x14ac:dyDescent="0.25">
      <c r="D14" s="1"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02DED-52A9-4656-89A9-2D20C7C1646B}">
  <dimension ref="A1:BK92"/>
  <sheetViews>
    <sheetView tabSelected="1" zoomScale="90" zoomScaleNormal="90" workbookViewId="0">
      <pane xSplit="2" ySplit="1" topLeftCell="J2" activePane="bottomRight" state="frozen"/>
      <selection pane="topRight" activeCell="B1" sqref="B1"/>
      <selection pane="bottomLeft" activeCell="A2" sqref="A2"/>
      <selection pane="bottomRight" activeCell="Z30" sqref="Z30"/>
    </sheetView>
  </sheetViews>
  <sheetFormatPr defaultColWidth="9.109375" defaultRowHeight="13.2" x14ac:dyDescent="0.25"/>
  <cols>
    <col min="1" max="1" width="5" style="1" bestFit="1" customWidth="1"/>
    <col min="2" max="2" width="36.5546875" style="1" bestFit="1" customWidth="1"/>
    <col min="3" max="27" width="9.109375" style="1"/>
    <col min="28" max="28" width="12.33203125" style="1" bestFit="1" customWidth="1"/>
    <col min="29" max="16384" width="9.109375" style="1"/>
  </cols>
  <sheetData>
    <row r="1" spans="1:28" x14ac:dyDescent="0.25">
      <c r="A1" s="5" t="s">
        <v>7</v>
      </c>
      <c r="C1" s="4" t="s">
        <v>67</v>
      </c>
      <c r="D1" s="4" t="s">
        <v>68</v>
      </c>
      <c r="E1" s="4" t="s">
        <v>69</v>
      </c>
      <c r="F1" s="4" t="s">
        <v>70</v>
      </c>
      <c r="G1" s="4" t="s">
        <v>71</v>
      </c>
      <c r="H1" s="4" t="s">
        <v>72</v>
      </c>
      <c r="I1" s="4" t="s">
        <v>73</v>
      </c>
      <c r="J1" s="4" t="s">
        <v>74</v>
      </c>
      <c r="K1" s="4" t="s">
        <v>75</v>
      </c>
      <c r="L1" s="4" t="s">
        <v>76</v>
      </c>
      <c r="M1" s="4" t="s">
        <v>77</v>
      </c>
      <c r="O1" s="4">
        <v>2022</v>
      </c>
      <c r="P1" s="4">
        <f>+O1+1</f>
        <v>2023</v>
      </c>
      <c r="Q1" s="4">
        <f t="shared" ref="Q1:Y1" si="0">+P1+1</f>
        <v>2024</v>
      </c>
      <c r="R1" s="4">
        <f t="shared" si="0"/>
        <v>2025</v>
      </c>
      <c r="S1" s="4">
        <f t="shared" si="0"/>
        <v>2026</v>
      </c>
      <c r="T1" s="4">
        <f t="shared" si="0"/>
        <v>2027</v>
      </c>
      <c r="U1" s="4">
        <f t="shared" si="0"/>
        <v>2028</v>
      </c>
      <c r="V1" s="4">
        <f t="shared" si="0"/>
        <v>2029</v>
      </c>
      <c r="W1" s="4">
        <f t="shared" si="0"/>
        <v>2030</v>
      </c>
      <c r="X1" s="4">
        <f t="shared" si="0"/>
        <v>2031</v>
      </c>
      <c r="Y1" s="4">
        <f t="shared" si="0"/>
        <v>2032</v>
      </c>
    </row>
    <row r="2" spans="1:28" x14ac:dyDescent="0.25">
      <c r="A2" s="5"/>
      <c r="B2" s="1" t="s">
        <v>83</v>
      </c>
      <c r="C2" s="3">
        <v>668</v>
      </c>
      <c r="D2" s="3">
        <v>696</v>
      </c>
      <c r="E2" s="3">
        <v>723</v>
      </c>
      <c r="F2" s="3">
        <v>762</v>
      </c>
      <c r="G2" s="3">
        <v>798</v>
      </c>
      <c r="H2" s="3">
        <v>826</v>
      </c>
      <c r="I2" s="3">
        <v>860</v>
      </c>
      <c r="J2" s="3">
        <v>895</v>
      </c>
      <c r="K2" s="3">
        <v>965</v>
      </c>
      <c r="L2" s="3">
        <v>1008</v>
      </c>
      <c r="M2" s="3"/>
      <c r="O2" s="3">
        <v>2267</v>
      </c>
      <c r="P2" s="3">
        <v>2849</v>
      </c>
      <c r="Q2" s="3">
        <v>3379</v>
      </c>
      <c r="R2" s="3"/>
      <c r="S2" s="3"/>
      <c r="T2" s="3"/>
      <c r="U2" s="3"/>
      <c r="V2" s="3"/>
      <c r="W2" s="3"/>
      <c r="X2" s="3"/>
      <c r="Y2" s="3"/>
    </row>
    <row r="3" spans="1:28" x14ac:dyDescent="0.25">
      <c r="A3" s="5"/>
      <c r="B3" s="1" t="s">
        <v>82</v>
      </c>
      <c r="C3" s="3">
        <v>681</v>
      </c>
      <c r="D3" s="3">
        <v>695</v>
      </c>
      <c r="E3" s="3">
        <v>745</v>
      </c>
      <c r="F3" s="3">
        <v>789</v>
      </c>
      <c r="G3" s="3">
        <v>820</v>
      </c>
      <c r="H3" s="3">
        <v>862</v>
      </c>
      <c r="I3" s="3">
        <v>894</v>
      </c>
      <c r="J3" s="3">
        <v>937</v>
      </c>
      <c r="K3" s="3">
        <v>978</v>
      </c>
      <c r="L3" s="3">
        <v>1030</v>
      </c>
      <c r="M3" s="3"/>
      <c r="O3" s="3">
        <v>2171</v>
      </c>
      <c r="P3" s="3">
        <v>2910</v>
      </c>
      <c r="Q3" s="3">
        <v>3513</v>
      </c>
      <c r="R3" s="3"/>
      <c r="S3" s="3"/>
      <c r="T3" s="3"/>
      <c r="U3" s="3"/>
      <c r="V3" s="3"/>
      <c r="W3" s="3"/>
      <c r="X3" s="3"/>
      <c r="Y3" s="3"/>
      <c r="AA3" s="1" t="s">
        <v>90</v>
      </c>
      <c r="AB3" s="11">
        <v>0.1</v>
      </c>
    </row>
    <row r="4" spans="1:28" x14ac:dyDescent="0.25">
      <c r="A4" s="5"/>
      <c r="B4" s="1" t="s">
        <v>84</v>
      </c>
      <c r="C4" s="3">
        <v>312</v>
      </c>
      <c r="D4" s="3">
        <v>215</v>
      </c>
      <c r="E4" s="3">
        <v>280</v>
      </c>
      <c r="F4" s="3">
        <v>303</v>
      </c>
      <c r="G4" s="3">
        <v>376</v>
      </c>
      <c r="H4" s="3">
        <v>256</v>
      </c>
      <c r="I4" s="3">
        <v>337</v>
      </c>
      <c r="J4" s="3">
        <v>420</v>
      </c>
      <c r="K4" s="3">
        <v>296</v>
      </c>
      <c r="L4" s="3">
        <v>314</v>
      </c>
      <c r="M4" s="3"/>
      <c r="O4" s="3">
        <v>851</v>
      </c>
      <c r="P4" s="3">
        <v>1110</v>
      </c>
      <c r="Q4" s="3">
        <v>1389</v>
      </c>
      <c r="R4" s="3"/>
      <c r="S4" s="3"/>
      <c r="T4" s="3"/>
      <c r="U4" s="3"/>
      <c r="V4" s="3"/>
      <c r="W4" s="3"/>
      <c r="X4" s="3"/>
      <c r="Y4" s="3"/>
      <c r="AA4" s="1" t="s">
        <v>89</v>
      </c>
      <c r="AB4" s="11">
        <v>0.04</v>
      </c>
    </row>
    <row r="5" spans="1:28" x14ac:dyDescent="0.25">
      <c r="A5" s="5"/>
      <c r="B5" s="1" t="s">
        <v>85</v>
      </c>
      <c r="C5" s="3">
        <v>327</v>
      </c>
      <c r="D5" s="3">
        <v>291</v>
      </c>
      <c r="E5" s="3">
        <v>273</v>
      </c>
      <c r="F5" s="3">
        <v>278</v>
      </c>
      <c r="G5" s="3">
        <v>350</v>
      </c>
      <c r="H5" s="3">
        <v>301</v>
      </c>
      <c r="I5" s="3">
        <v>296</v>
      </c>
      <c r="J5" s="3">
        <v>305</v>
      </c>
      <c r="K5" s="3">
        <v>305</v>
      </c>
      <c r="L5" s="3">
        <v>319</v>
      </c>
      <c r="M5" s="3"/>
      <c r="O5" s="3">
        <v>1171</v>
      </c>
      <c r="P5" s="3">
        <v>1169</v>
      </c>
      <c r="Q5" s="3">
        <v>1252</v>
      </c>
      <c r="R5" s="3"/>
      <c r="S5" s="3"/>
      <c r="T5" s="3"/>
      <c r="U5" s="3"/>
      <c r="V5" s="3"/>
      <c r="W5" s="3"/>
      <c r="X5" s="3"/>
      <c r="Y5" s="3"/>
      <c r="AA5" s="1" t="s">
        <v>88</v>
      </c>
      <c r="AB5" s="11">
        <v>0.15</v>
      </c>
    </row>
    <row r="6" spans="1:28" x14ac:dyDescent="0.25">
      <c r="A6" s="5"/>
      <c r="C6" s="3"/>
      <c r="D6" s="3"/>
      <c r="E6" s="3"/>
      <c r="F6" s="3"/>
      <c r="G6" s="3"/>
      <c r="H6" s="3"/>
      <c r="I6" s="3"/>
      <c r="J6" s="3"/>
      <c r="K6" s="3"/>
      <c r="L6" s="3"/>
      <c r="M6" s="3"/>
      <c r="O6" s="3"/>
      <c r="P6" s="3"/>
      <c r="Q6" s="3"/>
      <c r="R6" s="3"/>
      <c r="S6" s="3"/>
      <c r="T6" s="3"/>
      <c r="U6" s="3"/>
      <c r="V6" s="3"/>
      <c r="W6" s="3"/>
      <c r="X6" s="3"/>
      <c r="Y6" s="3"/>
      <c r="AA6" s="1" t="s">
        <v>91</v>
      </c>
      <c r="AB6" s="12">
        <f>+NPV(AB3,R28:BK28)+main!L6-main!L7</f>
        <v>186338.21356552831</v>
      </c>
    </row>
    <row r="7" spans="1:28" x14ac:dyDescent="0.25">
      <c r="A7" s="5"/>
      <c r="B7" s="1" t="s">
        <v>78</v>
      </c>
      <c r="C7" s="3">
        <v>1988</v>
      </c>
      <c r="D7" s="3">
        <v>1897</v>
      </c>
      <c r="E7" s="3">
        <v>2021</v>
      </c>
      <c r="F7" s="3">
        <v>2132</v>
      </c>
      <c r="G7" s="3">
        <v>2344</v>
      </c>
      <c r="H7" s="3">
        <f t="shared" ref="H7" si="1">+SUM(H2:H5)</f>
        <v>2245</v>
      </c>
      <c r="I7" s="3">
        <f>+SUM(I2:I5)</f>
        <v>2387</v>
      </c>
      <c r="J7" s="3">
        <f t="shared" ref="J7" si="2">+SUM(J2:J5)</f>
        <v>2557</v>
      </c>
      <c r="K7" s="3">
        <v>2671</v>
      </c>
      <c r="L7" s="3">
        <v>2671</v>
      </c>
      <c r="M7" s="3"/>
      <c r="O7" s="3">
        <f t="shared" ref="O7" si="3">+SUM(O2:O5)</f>
        <v>6460</v>
      </c>
      <c r="P7" s="3">
        <f>+SUM(P2:P5)</f>
        <v>8038</v>
      </c>
      <c r="Q7" s="3">
        <f t="shared" ref="Q7" si="4">+SUM(Q2:Q5)</f>
        <v>9533</v>
      </c>
      <c r="R7" s="3">
        <f>+Q7*1.17</f>
        <v>11153.609999999999</v>
      </c>
      <c r="S7" s="3">
        <f>+R7*1.15</f>
        <v>12826.651499999998</v>
      </c>
      <c r="T7" s="3">
        <f>+S7*1.12</f>
        <v>14365.849679999999</v>
      </c>
      <c r="U7" s="3">
        <f t="shared" ref="U7:W7" si="5">+T7*1.12</f>
        <v>16089.751641600002</v>
      </c>
      <c r="V7" s="3">
        <f t="shared" si="5"/>
        <v>18020.521838592005</v>
      </c>
      <c r="W7" s="3">
        <f t="shared" si="5"/>
        <v>20182.984459223047</v>
      </c>
      <c r="X7" s="3">
        <f>+W7*1.08</f>
        <v>21797.623215960892</v>
      </c>
      <c r="Y7" s="3">
        <f t="shared" ref="Y7" si="6">+X7*1.08</f>
        <v>23541.433073237764</v>
      </c>
      <c r="AA7" s="1" t="s">
        <v>92</v>
      </c>
      <c r="AB7" s="12">
        <f>+AB6/main!L4</f>
        <v>656.12047030115605</v>
      </c>
    </row>
    <row r="8" spans="1:28" x14ac:dyDescent="0.25">
      <c r="A8" s="5"/>
      <c r="B8" s="1" t="s">
        <v>79</v>
      </c>
      <c r="C8" s="3">
        <v>150</v>
      </c>
      <c r="D8" s="3">
        <v>516</v>
      </c>
      <c r="E8" s="3">
        <v>3341</v>
      </c>
      <c r="F8" s="3">
        <v>128</v>
      </c>
      <c r="G8" s="3">
        <v>187</v>
      </c>
      <c r="H8" s="3">
        <v>492</v>
      </c>
      <c r="I8" s="3">
        <v>3653</v>
      </c>
      <c r="J8" s="3">
        <v>113</v>
      </c>
      <c r="K8" s="3">
        <v>176</v>
      </c>
      <c r="L8" s="3">
        <v>509</v>
      </c>
      <c r="M8" s="3"/>
      <c r="O8" s="3">
        <v>3915</v>
      </c>
      <c r="P8" s="3">
        <v>4135</v>
      </c>
      <c r="Q8" s="3">
        <v>4445</v>
      </c>
      <c r="R8" s="3">
        <f>+Q8*1.05</f>
        <v>4667.25</v>
      </c>
      <c r="S8" s="3">
        <f t="shared" ref="S8:Y8" si="7">+R8*1.05</f>
        <v>4900.6125000000002</v>
      </c>
      <c r="T8" s="3">
        <f t="shared" si="7"/>
        <v>5145.6431250000005</v>
      </c>
      <c r="U8" s="3">
        <f t="shared" si="7"/>
        <v>5402.9252812500008</v>
      </c>
      <c r="V8" s="3">
        <f t="shared" si="7"/>
        <v>5673.0715453125013</v>
      </c>
      <c r="W8" s="3">
        <f t="shared" si="7"/>
        <v>5956.7251225781265</v>
      </c>
      <c r="X8" s="3">
        <f t="shared" si="7"/>
        <v>6254.5613787070333</v>
      </c>
      <c r="Y8" s="3">
        <f t="shared" si="7"/>
        <v>6567.2894476423853</v>
      </c>
    </row>
    <row r="9" spans="1:28" x14ac:dyDescent="0.25">
      <c r="A9" s="5"/>
      <c r="B9" s="1" t="s">
        <v>80</v>
      </c>
      <c r="C9" s="3">
        <v>425</v>
      </c>
      <c r="D9" s="3">
        <v>375</v>
      </c>
      <c r="E9" s="3">
        <v>410</v>
      </c>
      <c r="F9" s="3">
        <v>424</v>
      </c>
      <c r="G9" s="3">
        <v>405</v>
      </c>
      <c r="H9" s="3">
        <v>375</v>
      </c>
      <c r="I9" s="3">
        <v>443</v>
      </c>
      <c r="J9" s="3">
        <v>485</v>
      </c>
      <c r="K9" s="3">
        <v>524</v>
      </c>
      <c r="L9" s="3">
        <v>511</v>
      </c>
      <c r="M9" s="3"/>
      <c r="O9" s="3">
        <v>1805</v>
      </c>
      <c r="P9" s="3">
        <v>1634</v>
      </c>
      <c r="Q9" s="3">
        <v>1708</v>
      </c>
      <c r="R9" s="3">
        <f>+Q9*1.03</f>
        <v>1759.24</v>
      </c>
      <c r="S9" s="3">
        <f t="shared" ref="S9:Y9" si="8">+R9*1.03</f>
        <v>1812.0172</v>
      </c>
      <c r="T9" s="3">
        <f t="shared" si="8"/>
        <v>1866.377716</v>
      </c>
      <c r="U9" s="3">
        <f t="shared" si="8"/>
        <v>1922.3690474800001</v>
      </c>
      <c r="V9" s="3">
        <f t="shared" si="8"/>
        <v>1980.0401189044001</v>
      </c>
      <c r="W9" s="3">
        <f t="shared" si="8"/>
        <v>2039.4413224715322</v>
      </c>
      <c r="X9" s="3">
        <f t="shared" si="8"/>
        <v>2100.6245621456783</v>
      </c>
      <c r="Y9" s="3">
        <f t="shared" si="8"/>
        <v>2163.6432990100488</v>
      </c>
    </row>
    <row r="10" spans="1:28" x14ac:dyDescent="0.25">
      <c r="A10" s="5"/>
      <c r="B10" s="1" t="s">
        <v>81</v>
      </c>
      <c r="C10" s="3">
        <v>34</v>
      </c>
      <c r="D10" s="3">
        <v>253</v>
      </c>
      <c r="E10" s="3">
        <v>246</v>
      </c>
      <c r="F10" s="3">
        <v>28</v>
      </c>
      <c r="G10" s="3">
        <v>42</v>
      </c>
      <c r="H10" s="3">
        <v>274</v>
      </c>
      <c r="I10" s="3">
        <v>254</v>
      </c>
      <c r="J10" s="3">
        <v>29</v>
      </c>
      <c r="K10" s="3">
        <v>39</v>
      </c>
      <c r="L10" s="3">
        <v>272</v>
      </c>
      <c r="M10" s="3"/>
      <c r="O10" s="3">
        <v>546</v>
      </c>
      <c r="P10" s="3">
        <v>561</v>
      </c>
      <c r="Q10" s="3">
        <v>599</v>
      </c>
      <c r="R10" s="3">
        <f>+Q10*1.02</f>
        <v>610.98</v>
      </c>
      <c r="S10" s="3">
        <f t="shared" ref="S10:Y10" si="9">+R10*1.02</f>
        <v>623.19960000000003</v>
      </c>
      <c r="T10" s="3">
        <f t="shared" si="9"/>
        <v>635.66359199999999</v>
      </c>
      <c r="U10" s="3">
        <f t="shared" si="9"/>
        <v>648.37686384000006</v>
      </c>
      <c r="V10" s="3">
        <f t="shared" si="9"/>
        <v>661.3444011168001</v>
      </c>
      <c r="W10" s="3">
        <f t="shared" si="9"/>
        <v>674.57128913913607</v>
      </c>
      <c r="X10" s="3">
        <f t="shared" si="9"/>
        <v>688.06271492191877</v>
      </c>
      <c r="Y10" s="3">
        <f t="shared" si="9"/>
        <v>701.82396922035718</v>
      </c>
    </row>
    <row r="11" spans="1:28" x14ac:dyDescent="0.25">
      <c r="A11" s="5"/>
      <c r="C11" s="4"/>
      <c r="D11" s="4"/>
      <c r="E11" s="4"/>
      <c r="F11" s="4"/>
      <c r="G11" s="4"/>
      <c r="H11" s="4"/>
      <c r="I11" s="4"/>
      <c r="J11" s="4"/>
      <c r="K11" s="4"/>
      <c r="L11" s="4"/>
      <c r="M11" s="4"/>
      <c r="O11" s="6"/>
      <c r="P11" s="6"/>
      <c r="Q11" s="6"/>
      <c r="R11" s="6"/>
      <c r="S11" s="6"/>
      <c r="T11" s="6"/>
      <c r="U11" s="6"/>
      <c r="V11" s="6"/>
      <c r="W11" s="6"/>
      <c r="X11" s="6"/>
      <c r="Y11" s="6"/>
    </row>
    <row r="12" spans="1:28" x14ac:dyDescent="0.25">
      <c r="B12" s="1" t="s">
        <v>8</v>
      </c>
      <c r="C12" s="3"/>
      <c r="D12" s="3"/>
      <c r="E12" s="3">
        <v>5404</v>
      </c>
      <c r="F12" s="3">
        <v>2340</v>
      </c>
      <c r="G12" s="3">
        <v>2450</v>
      </c>
      <c r="H12" s="3">
        <v>2693</v>
      </c>
      <c r="I12" s="3">
        <v>6048</v>
      </c>
      <c r="J12" s="3">
        <f>+Q12-SUM(G12:I12)</f>
        <v>2670</v>
      </c>
      <c r="K12" s="3">
        <v>2889</v>
      </c>
      <c r="L12" s="3">
        <v>3249</v>
      </c>
      <c r="M12" s="3"/>
      <c r="O12" s="3">
        <v>10914</v>
      </c>
      <c r="P12" s="3">
        <v>12317</v>
      </c>
      <c r="Q12" s="3">
        <v>13861</v>
      </c>
      <c r="R12" s="3"/>
      <c r="S12" s="3"/>
      <c r="T12" s="3"/>
      <c r="U12" s="3"/>
      <c r="V12" s="3"/>
      <c r="W12" s="3"/>
      <c r="X12" s="3"/>
      <c r="Y12" s="3"/>
    </row>
    <row r="13" spans="1:28" x14ac:dyDescent="0.25">
      <c r="B13" s="1" t="s">
        <v>9</v>
      </c>
      <c r="C13" s="3"/>
      <c r="D13" s="3"/>
      <c r="E13" s="3">
        <v>614</v>
      </c>
      <c r="F13" s="3">
        <v>372</v>
      </c>
      <c r="G13" s="3">
        <v>528</v>
      </c>
      <c r="H13" s="3">
        <v>693</v>
      </c>
      <c r="I13" s="3">
        <v>689</v>
      </c>
      <c r="J13" s="3">
        <f t="shared" ref="J13" si="10">+Q13-SUM(G13:I13)</f>
        <v>514</v>
      </c>
      <c r="K13" s="3">
        <v>394</v>
      </c>
      <c r="L13" s="3">
        <v>714</v>
      </c>
      <c r="M13" s="3"/>
      <c r="O13" s="3">
        <v>1812</v>
      </c>
      <c r="P13" s="3">
        <v>2051</v>
      </c>
      <c r="Q13" s="3">
        <v>2424</v>
      </c>
      <c r="R13" s="3"/>
      <c r="S13" s="3"/>
      <c r="T13" s="3"/>
      <c r="U13" s="3"/>
      <c r="V13" s="3"/>
      <c r="W13" s="3"/>
      <c r="X13" s="3"/>
      <c r="Y13" s="3"/>
    </row>
    <row r="14" spans="1:28" x14ac:dyDescent="0.25">
      <c r="C14" s="3"/>
      <c r="D14" s="3"/>
      <c r="E14" s="3"/>
      <c r="F14" s="3"/>
      <c r="G14" s="3"/>
      <c r="H14" s="3"/>
      <c r="I14" s="3"/>
      <c r="J14" s="3"/>
      <c r="K14" s="3"/>
      <c r="L14" s="3"/>
      <c r="M14" s="3"/>
      <c r="O14" s="3"/>
      <c r="P14" s="3"/>
      <c r="Q14" s="3"/>
      <c r="R14" s="3"/>
      <c r="S14" s="3"/>
      <c r="T14" s="3"/>
      <c r="U14" s="3"/>
      <c r="V14" s="3"/>
      <c r="W14" s="3"/>
      <c r="X14" s="3"/>
      <c r="Y14" s="3"/>
    </row>
    <row r="15" spans="1:28" s="4" customFormat="1" x14ac:dyDescent="0.25">
      <c r="B15" s="4" t="s">
        <v>10</v>
      </c>
      <c r="C15" s="6">
        <f>+SUM(C7:C10)</f>
        <v>2597</v>
      </c>
      <c r="D15" s="6">
        <f t="shared" ref="D15" si="11">+SUM(D7:D10)</f>
        <v>3041</v>
      </c>
      <c r="E15" s="6">
        <f>+E12+E13</f>
        <v>6018</v>
      </c>
      <c r="F15" s="6">
        <f t="shared" ref="F15" si="12">+F12+F13</f>
        <v>2712</v>
      </c>
      <c r="G15" s="6">
        <f>+G12+G13</f>
        <v>2978</v>
      </c>
      <c r="H15" s="6">
        <f t="shared" ref="H15" si="13">+H12+H13</f>
        <v>3386</v>
      </c>
      <c r="I15" s="6">
        <f>+I12+I13</f>
        <v>6737</v>
      </c>
      <c r="J15" s="6">
        <f>+J12+J13</f>
        <v>3184</v>
      </c>
      <c r="K15" s="6">
        <f>+K12+K13</f>
        <v>3283</v>
      </c>
      <c r="L15" s="6">
        <f>+SUM(L12:L13)</f>
        <v>3963</v>
      </c>
      <c r="M15" s="6"/>
      <c r="O15" s="6">
        <f t="shared" ref="O15:Q15" si="14">+SUM(O7:O10)</f>
        <v>12726</v>
      </c>
      <c r="P15" s="6">
        <f t="shared" si="14"/>
        <v>14368</v>
      </c>
      <c r="Q15" s="6">
        <f t="shared" si="14"/>
        <v>16285</v>
      </c>
      <c r="R15" s="6">
        <f>+SUM(R7:R10)</f>
        <v>18191.079999999998</v>
      </c>
      <c r="S15" s="6">
        <f t="shared" ref="S15:Y15" si="15">+SUM(S7:S10)</f>
        <v>20162.480799999998</v>
      </c>
      <c r="T15" s="6">
        <f t="shared" si="15"/>
        <v>22013.534113000002</v>
      </c>
      <c r="U15" s="6">
        <f t="shared" si="15"/>
        <v>24063.42283417</v>
      </c>
      <c r="V15" s="6">
        <f t="shared" si="15"/>
        <v>26334.977903925705</v>
      </c>
      <c r="W15" s="6">
        <f t="shared" si="15"/>
        <v>28853.722193411842</v>
      </c>
      <c r="X15" s="6">
        <f t="shared" si="15"/>
        <v>30840.871871735519</v>
      </c>
      <c r="Y15" s="6">
        <f t="shared" si="15"/>
        <v>32974.189789110555</v>
      </c>
    </row>
    <row r="16" spans="1:28" x14ac:dyDescent="0.25">
      <c r="B16" s="1" t="s">
        <v>11</v>
      </c>
      <c r="C16" s="3"/>
      <c r="D16" s="3"/>
      <c r="E16" s="3">
        <v>924</v>
      </c>
      <c r="F16" s="3">
        <v>656</v>
      </c>
      <c r="G16" s="3">
        <v>707</v>
      </c>
      <c r="H16" s="3">
        <v>796</v>
      </c>
      <c r="I16" s="3">
        <v>1014</v>
      </c>
      <c r="J16" s="3">
        <f t="shared" ref="J16:J17" si="16">+Q16-SUM(G16:I16)</f>
        <v>733</v>
      </c>
      <c r="K16" s="3">
        <v>772</v>
      </c>
      <c r="L16" s="3">
        <v>880</v>
      </c>
      <c r="M16" s="3"/>
      <c r="O16" s="3">
        <v>2196</v>
      </c>
      <c r="P16" s="3">
        <v>2908</v>
      </c>
      <c r="Q16" s="3">
        <v>3250</v>
      </c>
      <c r="R16" s="3"/>
      <c r="S16" s="3"/>
      <c r="T16" s="3"/>
      <c r="U16" s="3"/>
      <c r="V16" s="3"/>
      <c r="W16" s="3"/>
      <c r="X16" s="3"/>
      <c r="Y16" s="3"/>
    </row>
    <row r="17" spans="2:63" x14ac:dyDescent="0.25">
      <c r="B17" s="1" t="s">
        <v>12</v>
      </c>
      <c r="C17" s="3"/>
      <c r="D17" s="3"/>
      <c r="E17" s="3">
        <v>17</v>
      </c>
      <c r="F17" s="3">
        <v>16</v>
      </c>
      <c r="G17" s="3">
        <v>15</v>
      </c>
      <c r="H17" s="3">
        <v>23</v>
      </c>
      <c r="I17" s="3">
        <v>17</v>
      </c>
      <c r="J17" s="3">
        <f t="shared" si="16"/>
        <v>14</v>
      </c>
      <c r="K17" s="3">
        <v>14</v>
      </c>
      <c r="L17" s="3">
        <v>20</v>
      </c>
      <c r="M17" s="3"/>
      <c r="O17" s="3">
        <v>70</v>
      </c>
      <c r="P17" s="3">
        <v>72</v>
      </c>
      <c r="Q17" s="3">
        <v>69</v>
      </c>
      <c r="R17" s="3"/>
      <c r="S17" s="3"/>
      <c r="T17" s="3"/>
      <c r="U17" s="3"/>
      <c r="V17" s="3"/>
      <c r="W17" s="3"/>
      <c r="X17" s="3"/>
      <c r="Y17" s="3"/>
    </row>
    <row r="18" spans="2:63" x14ac:dyDescent="0.25">
      <c r="B18" s="1" t="s">
        <v>13</v>
      </c>
      <c r="C18" s="3"/>
      <c r="D18" s="3"/>
      <c r="E18" s="3">
        <f>+E15-E16-E17</f>
        <v>5077</v>
      </c>
      <c r="F18" s="3">
        <f t="shared" ref="F18" si="17">+F15-F16-F17</f>
        <v>2040</v>
      </c>
      <c r="G18" s="3">
        <f>+G15-G16-G17</f>
        <v>2256</v>
      </c>
      <c r="H18" s="3">
        <f t="shared" ref="H18:J18" si="18">+H15-H16-H17</f>
        <v>2567</v>
      </c>
      <c r="I18" s="3">
        <f t="shared" si="18"/>
        <v>5706</v>
      </c>
      <c r="J18" s="3">
        <f t="shared" si="18"/>
        <v>2437</v>
      </c>
      <c r="K18" s="3">
        <f>+K15-K16-K17</f>
        <v>2497</v>
      </c>
      <c r="L18" s="3">
        <f t="shared" ref="L18" si="19">+L15-L16-L17</f>
        <v>3063</v>
      </c>
      <c r="M18" s="3"/>
      <c r="O18" s="3">
        <f>+O15-O16-O17</f>
        <v>10460</v>
      </c>
      <c r="P18" s="3">
        <f t="shared" ref="P18:Q18" si="20">+P15-P16-P17</f>
        <v>11388</v>
      </c>
      <c r="Q18" s="3">
        <f t="shared" si="20"/>
        <v>12966</v>
      </c>
      <c r="R18" s="3">
        <f>+R15*0.78</f>
        <v>14189.042399999998</v>
      </c>
      <c r="S18" s="3">
        <f>+S15*0.79</f>
        <v>15928.359831999998</v>
      </c>
      <c r="T18" s="3">
        <f>+T15*0.8</f>
        <v>17610.8272904</v>
      </c>
      <c r="U18" s="3">
        <f t="shared" ref="U18" si="21">+U15*0.8</f>
        <v>19250.738267336001</v>
      </c>
      <c r="V18" s="3">
        <f>+V15*0.81</f>
        <v>21331.332102179822</v>
      </c>
      <c r="W18" s="3">
        <f t="shared" ref="W18:Y18" si="22">+W15*0.81</f>
        <v>23371.514976663595</v>
      </c>
      <c r="X18" s="3">
        <f t="shared" si="22"/>
        <v>24981.106216105771</v>
      </c>
      <c r="Y18" s="3">
        <f t="shared" si="22"/>
        <v>26709.093729179553</v>
      </c>
    </row>
    <row r="19" spans="2:63" x14ac:dyDescent="0.25">
      <c r="B19" s="1" t="s">
        <v>14</v>
      </c>
      <c r="C19" s="3"/>
      <c r="D19" s="3"/>
      <c r="E19" s="3">
        <v>1203</v>
      </c>
      <c r="F19" s="3">
        <v>840</v>
      </c>
      <c r="G19" s="3">
        <v>769</v>
      </c>
      <c r="H19" s="3">
        <v>1020</v>
      </c>
      <c r="I19" s="3">
        <v>1419</v>
      </c>
      <c r="J19" s="3">
        <f t="shared" ref="J19:J21" si="23">+Q19-SUM(G19:I19)</f>
        <v>1104</v>
      </c>
      <c r="K19" s="3">
        <v>962</v>
      </c>
      <c r="L19" s="3">
        <v>1204</v>
      </c>
      <c r="M19" s="3"/>
      <c r="O19" s="3">
        <v>3526</v>
      </c>
      <c r="P19" s="3">
        <v>3762</v>
      </c>
      <c r="Q19" s="3">
        <v>4312</v>
      </c>
      <c r="R19" s="3">
        <f>+R15*0.26</f>
        <v>4729.6808000000001</v>
      </c>
      <c r="S19" s="3">
        <f>+S15*0.25</f>
        <v>5040.6201999999994</v>
      </c>
      <c r="T19" s="3">
        <f t="shared" ref="T19" si="24">+T15*0.25</f>
        <v>5503.3835282500004</v>
      </c>
      <c r="U19" s="3">
        <f>+U15*0.23</f>
        <v>5534.5872518591004</v>
      </c>
      <c r="V19" s="3">
        <f t="shared" ref="V19:Y19" si="25">+V15*0.23</f>
        <v>6057.0449179029119</v>
      </c>
      <c r="W19" s="3">
        <f t="shared" si="25"/>
        <v>6636.3561044847238</v>
      </c>
      <c r="X19" s="3">
        <f t="shared" si="25"/>
        <v>7093.4005304991697</v>
      </c>
      <c r="Y19" s="3">
        <f t="shared" si="25"/>
        <v>7584.0636514954276</v>
      </c>
    </row>
    <row r="20" spans="2:63" x14ac:dyDescent="0.25">
      <c r="B20" s="1" t="s">
        <v>15</v>
      </c>
      <c r="C20" s="3"/>
      <c r="D20" s="3"/>
      <c r="E20" s="3">
        <v>604</v>
      </c>
      <c r="F20" s="3">
        <v>680</v>
      </c>
      <c r="G20" s="3">
        <v>680</v>
      </c>
      <c r="H20" s="3">
        <v>678</v>
      </c>
      <c r="I20" s="3">
        <v>671</v>
      </c>
      <c r="J20" s="3">
        <f t="shared" si="23"/>
        <v>725</v>
      </c>
      <c r="K20" s="3">
        <v>704</v>
      </c>
      <c r="L20" s="3">
        <v>716</v>
      </c>
      <c r="M20" s="3"/>
      <c r="O20" s="3">
        <v>2347</v>
      </c>
      <c r="P20" s="3">
        <v>2539</v>
      </c>
      <c r="Q20" s="3">
        <v>2754</v>
      </c>
      <c r="R20" s="3">
        <f>+R15*0.16</f>
        <v>2910.5727999999999</v>
      </c>
      <c r="S20" s="3">
        <f t="shared" ref="S20" si="26">+S15*0.16</f>
        <v>3225.9969279999996</v>
      </c>
      <c r="T20" s="3">
        <f>+T15*0.15</f>
        <v>3302.0301169500003</v>
      </c>
      <c r="U20" s="3">
        <f t="shared" ref="U20" si="27">+U15*0.15</f>
        <v>3609.5134251254999</v>
      </c>
      <c r="V20" s="3">
        <f>+V15*0.14</f>
        <v>3686.896906549599</v>
      </c>
      <c r="W20" s="3">
        <f t="shared" ref="W20:Y20" si="28">+W15*0.14</f>
        <v>4039.5211070776581</v>
      </c>
      <c r="X20" s="3">
        <f t="shared" si="28"/>
        <v>4317.7220620429734</v>
      </c>
      <c r="Y20" s="3">
        <f t="shared" si="28"/>
        <v>4616.386570475478</v>
      </c>
    </row>
    <row r="21" spans="2:63" x14ac:dyDescent="0.25">
      <c r="B21" s="1" t="s">
        <v>16</v>
      </c>
      <c r="C21" s="3"/>
      <c r="D21" s="3"/>
      <c r="E21" s="3">
        <v>332</v>
      </c>
      <c r="F21" s="3">
        <v>341</v>
      </c>
      <c r="G21" s="3">
        <v>342</v>
      </c>
      <c r="H21" s="3">
        <v>344</v>
      </c>
      <c r="I21" s="3">
        <v>355</v>
      </c>
      <c r="J21" s="3">
        <f t="shared" si="23"/>
        <v>377</v>
      </c>
      <c r="K21" s="3">
        <v>394</v>
      </c>
      <c r="L21" s="3">
        <v>389</v>
      </c>
      <c r="M21" s="3"/>
      <c r="O21" s="3">
        <v>1460</v>
      </c>
      <c r="P21" s="3">
        <v>1300</v>
      </c>
      <c r="Q21" s="3">
        <v>1418</v>
      </c>
      <c r="R21" s="3">
        <f>+Q21*1.05</f>
        <v>1488.9</v>
      </c>
      <c r="S21" s="3">
        <f t="shared" ref="S21:Y21" si="29">+R21*1.05</f>
        <v>1563.3450000000003</v>
      </c>
      <c r="T21" s="3">
        <f t="shared" si="29"/>
        <v>1641.5122500000004</v>
      </c>
      <c r="U21" s="3">
        <f t="shared" si="29"/>
        <v>1723.5878625000005</v>
      </c>
      <c r="V21" s="3">
        <f t="shared" si="29"/>
        <v>1809.7672556250006</v>
      </c>
      <c r="W21" s="3">
        <f t="shared" si="29"/>
        <v>1900.2556184062507</v>
      </c>
      <c r="X21" s="3">
        <f t="shared" si="29"/>
        <v>1995.2683993265634</v>
      </c>
      <c r="Y21" s="3">
        <f t="shared" si="29"/>
        <v>2095.0318192928917</v>
      </c>
    </row>
    <row r="22" spans="2:63" x14ac:dyDescent="0.25">
      <c r="B22" s="1" t="s">
        <v>17</v>
      </c>
      <c r="C22" s="3"/>
      <c r="D22" s="3"/>
      <c r="E22" s="3">
        <f t="shared" ref="E22:L22" si="30">+SUM(E19:E21)</f>
        <v>2139</v>
      </c>
      <c r="F22" s="3">
        <f t="shared" si="30"/>
        <v>1861</v>
      </c>
      <c r="G22" s="3">
        <f t="shared" si="30"/>
        <v>1791</v>
      </c>
      <c r="H22" s="3">
        <f t="shared" si="30"/>
        <v>2042</v>
      </c>
      <c r="I22" s="3">
        <f t="shared" si="30"/>
        <v>2445</v>
      </c>
      <c r="J22" s="3">
        <f t="shared" si="30"/>
        <v>2206</v>
      </c>
      <c r="K22" s="3">
        <f t="shared" si="30"/>
        <v>2060</v>
      </c>
      <c r="L22" s="3">
        <f t="shared" si="30"/>
        <v>2309</v>
      </c>
      <c r="M22" s="3"/>
      <c r="O22" s="3">
        <f t="shared" ref="O22:Y22" si="31">+SUM(O19:O21)</f>
        <v>7333</v>
      </c>
      <c r="P22" s="3">
        <f t="shared" si="31"/>
        <v>7601</v>
      </c>
      <c r="Q22" s="3">
        <f t="shared" si="31"/>
        <v>8484</v>
      </c>
      <c r="R22" s="3">
        <f t="shared" si="31"/>
        <v>9129.1535999999996</v>
      </c>
      <c r="S22" s="3">
        <f t="shared" si="31"/>
        <v>9829.9621279999992</v>
      </c>
      <c r="T22" s="3">
        <f t="shared" si="31"/>
        <v>10446.9258952</v>
      </c>
      <c r="U22" s="3">
        <f t="shared" si="31"/>
        <v>10867.688539484601</v>
      </c>
      <c r="V22" s="3">
        <f t="shared" si="31"/>
        <v>11553.709080077511</v>
      </c>
      <c r="W22" s="3">
        <f t="shared" si="31"/>
        <v>12576.132829968632</v>
      </c>
      <c r="X22" s="3">
        <f t="shared" si="31"/>
        <v>13406.390991868706</v>
      </c>
      <c r="Y22" s="3">
        <f t="shared" si="31"/>
        <v>14295.482041263798</v>
      </c>
    </row>
    <row r="23" spans="2:63" x14ac:dyDescent="0.25">
      <c r="B23" s="4" t="s">
        <v>18</v>
      </c>
      <c r="C23" s="6"/>
      <c r="D23" s="6"/>
      <c r="E23" s="6">
        <f t="shared" ref="E23:L23" si="32">+E18-E22</f>
        <v>2938</v>
      </c>
      <c r="F23" s="6">
        <f t="shared" si="32"/>
        <v>179</v>
      </c>
      <c r="G23" s="6">
        <f t="shared" si="32"/>
        <v>465</v>
      </c>
      <c r="H23" s="6">
        <f t="shared" si="32"/>
        <v>525</v>
      </c>
      <c r="I23" s="6">
        <f t="shared" si="32"/>
        <v>3261</v>
      </c>
      <c r="J23" s="6">
        <f t="shared" si="32"/>
        <v>231</v>
      </c>
      <c r="K23" s="6">
        <f t="shared" si="32"/>
        <v>437</v>
      </c>
      <c r="L23" s="6">
        <f t="shared" si="32"/>
        <v>754</v>
      </c>
      <c r="M23" s="6"/>
      <c r="N23" s="4"/>
      <c r="O23" s="6">
        <f>+O18-O22</f>
        <v>3127</v>
      </c>
      <c r="P23" s="6">
        <f>+P18-P22</f>
        <v>3787</v>
      </c>
      <c r="Q23" s="6">
        <f>+Q18-Q22</f>
        <v>4482</v>
      </c>
      <c r="R23" s="6">
        <v>4700</v>
      </c>
      <c r="S23" s="6">
        <f t="shared" ref="S23:Y23" si="33">+S18-S22</f>
        <v>6098.3977039999991</v>
      </c>
      <c r="T23" s="6">
        <f t="shared" si="33"/>
        <v>7163.9013952000005</v>
      </c>
      <c r="U23" s="6">
        <f t="shared" si="33"/>
        <v>8383.0497278513994</v>
      </c>
      <c r="V23" s="6">
        <f t="shared" si="33"/>
        <v>9777.6230221023106</v>
      </c>
      <c r="W23" s="6">
        <f t="shared" si="33"/>
        <v>10795.382146694963</v>
      </c>
      <c r="X23" s="6">
        <f t="shared" si="33"/>
        <v>11574.715224237065</v>
      </c>
      <c r="Y23" s="6">
        <f t="shared" si="33"/>
        <v>12413.611687915754</v>
      </c>
    </row>
    <row r="24" spans="2:63" x14ac:dyDescent="0.25">
      <c r="B24" s="1" t="s">
        <v>19</v>
      </c>
      <c r="C24" s="3"/>
      <c r="D24" s="3"/>
      <c r="E24" s="3">
        <f>-66+22</f>
        <v>-44</v>
      </c>
      <c r="F24" s="3">
        <f>-68+46</f>
        <v>-22</v>
      </c>
      <c r="G24" s="3">
        <v>-65</v>
      </c>
      <c r="H24" s="3">
        <f>-57+42</f>
        <v>-15</v>
      </c>
      <c r="I24" s="3">
        <f>-60+27</f>
        <v>-33</v>
      </c>
      <c r="J24" s="3">
        <f>-60+71</f>
        <v>11</v>
      </c>
      <c r="K24" s="3">
        <v>-60</v>
      </c>
      <c r="L24" s="3">
        <f>-60+38</f>
        <v>-22</v>
      </c>
      <c r="M24" s="3"/>
      <c r="O24" s="3">
        <v>-81</v>
      </c>
      <c r="P24" s="3">
        <v>-248</v>
      </c>
      <c r="Q24" s="3">
        <v>-242</v>
      </c>
      <c r="R24" s="3"/>
      <c r="S24" s="3"/>
      <c r="T24" s="3"/>
      <c r="U24" s="3"/>
      <c r="V24" s="3"/>
      <c r="W24" s="3"/>
      <c r="X24" s="3"/>
      <c r="Y24" s="3"/>
    </row>
    <row r="25" spans="2:63" x14ac:dyDescent="0.25">
      <c r="B25" s="1" t="s">
        <v>20</v>
      </c>
      <c r="C25" s="3"/>
      <c r="D25" s="3"/>
      <c r="E25" s="3"/>
      <c r="F25" s="3"/>
      <c r="G25" s="3">
        <v>22</v>
      </c>
      <c r="H25" s="3">
        <v>0</v>
      </c>
      <c r="I25" s="3"/>
      <c r="J25" s="3"/>
      <c r="K25" s="3">
        <v>2</v>
      </c>
      <c r="L25" s="3">
        <v>0</v>
      </c>
      <c r="M25" s="3"/>
      <c r="O25" s="3">
        <v>52</v>
      </c>
      <c r="P25" s="3">
        <v>96</v>
      </c>
      <c r="Q25" s="3">
        <v>162</v>
      </c>
      <c r="R25" s="3">
        <v>0</v>
      </c>
      <c r="S25" s="3">
        <f>+R92*$AB$5</f>
        <v>441.59999999999997</v>
      </c>
      <c r="T25" s="3">
        <f t="shared" ref="T25:Y25" si="34">+S92*$AB$5</f>
        <v>1275.44970726</v>
      </c>
      <c r="U25" s="3">
        <f t="shared" si="34"/>
        <v>2351.4669728236504</v>
      </c>
      <c r="V25" s="3">
        <f t="shared" si="34"/>
        <v>3720.117852159719</v>
      </c>
      <c r="W25" s="3">
        <f t="shared" si="34"/>
        <v>5441.0798136281273</v>
      </c>
      <c r="X25" s="3">
        <f t="shared" si="34"/>
        <v>7511.2287135693223</v>
      </c>
      <c r="Y25" s="3">
        <f t="shared" si="34"/>
        <v>9944.6865656396349</v>
      </c>
    </row>
    <row r="26" spans="2:63" x14ac:dyDescent="0.25">
      <c r="B26" s="1" t="s">
        <v>21</v>
      </c>
      <c r="C26" s="3"/>
      <c r="D26" s="3"/>
      <c r="E26" s="3">
        <f>+E23+E24+E25</f>
        <v>2894</v>
      </c>
      <c r="F26" s="3">
        <f t="shared" ref="F26" si="35">+F23+F24+F25</f>
        <v>157</v>
      </c>
      <c r="G26" s="3">
        <f>+G23+G24+G25</f>
        <v>422</v>
      </c>
      <c r="H26" s="3">
        <f t="shared" ref="H26:J26" si="36">+H23+H24+H25</f>
        <v>510</v>
      </c>
      <c r="I26" s="3">
        <f t="shared" si="36"/>
        <v>3228</v>
      </c>
      <c r="J26" s="3">
        <f t="shared" si="36"/>
        <v>242</v>
      </c>
      <c r="K26" s="3">
        <f>+K23+K24+K25</f>
        <v>379</v>
      </c>
      <c r="L26" s="3">
        <f t="shared" ref="L26" si="37">+L23+L24+L25</f>
        <v>732</v>
      </c>
      <c r="M26" s="3"/>
      <c r="O26" s="3">
        <f>+O23+O24+O25</f>
        <v>3098</v>
      </c>
      <c r="P26" s="3">
        <f t="shared" ref="P26:Y26" si="38">+P23+P24+P25</f>
        <v>3635</v>
      </c>
      <c r="Q26" s="3">
        <f t="shared" si="38"/>
        <v>4402</v>
      </c>
      <c r="R26" s="3">
        <f t="shared" si="38"/>
        <v>4700</v>
      </c>
      <c r="S26" s="3">
        <f t="shared" si="38"/>
        <v>6539.9977039999994</v>
      </c>
      <c r="T26" s="3">
        <f t="shared" si="38"/>
        <v>8439.3511024600011</v>
      </c>
      <c r="U26" s="3">
        <f t="shared" si="38"/>
        <v>10734.516700675049</v>
      </c>
      <c r="V26" s="3">
        <f t="shared" si="38"/>
        <v>13497.74087426203</v>
      </c>
      <c r="W26" s="3">
        <f t="shared" si="38"/>
        <v>16236.461960323089</v>
      </c>
      <c r="X26" s="3">
        <f t="shared" si="38"/>
        <v>19085.943937806387</v>
      </c>
      <c r="Y26" s="3">
        <f t="shared" si="38"/>
        <v>22358.298253555389</v>
      </c>
    </row>
    <row r="27" spans="2:63" x14ac:dyDescent="0.25">
      <c r="B27" s="1" t="s">
        <v>22</v>
      </c>
      <c r="C27" s="3"/>
      <c r="D27" s="3"/>
      <c r="E27" s="3">
        <v>647</v>
      </c>
      <c r="F27" s="3">
        <v>94</v>
      </c>
      <c r="G27" s="3">
        <v>23</v>
      </c>
      <c r="H27" s="3">
        <v>1</v>
      </c>
      <c r="I27" s="3">
        <v>683</v>
      </c>
      <c r="J27" s="3">
        <v>120</v>
      </c>
      <c r="K27" s="3">
        <v>16</v>
      </c>
      <c r="L27" s="3">
        <v>100</v>
      </c>
      <c r="M27" s="3"/>
      <c r="O27" s="3">
        <v>476</v>
      </c>
      <c r="P27" s="3">
        <v>605</v>
      </c>
      <c r="Q27" s="3">
        <v>587</v>
      </c>
      <c r="R27" s="3">
        <f>+R26*0.15</f>
        <v>705</v>
      </c>
      <c r="S27" s="3">
        <f t="shared" ref="S27:Y27" si="39">+S26*0.15</f>
        <v>980.99965559999987</v>
      </c>
      <c r="T27" s="3">
        <f t="shared" si="39"/>
        <v>1265.902665369</v>
      </c>
      <c r="U27" s="3">
        <f t="shared" si="39"/>
        <v>1610.1775051012573</v>
      </c>
      <c r="V27" s="3">
        <f t="shared" si="39"/>
        <v>2024.6611311393044</v>
      </c>
      <c r="W27" s="3">
        <f t="shared" si="39"/>
        <v>2435.4692940484633</v>
      </c>
      <c r="X27" s="3">
        <f t="shared" si="39"/>
        <v>2862.8915906709581</v>
      </c>
      <c r="Y27" s="3">
        <f t="shared" si="39"/>
        <v>3353.7447380333083</v>
      </c>
    </row>
    <row r="28" spans="2:63" s="4" customFormat="1" x14ac:dyDescent="0.25">
      <c r="B28" s="4" t="s">
        <v>23</v>
      </c>
      <c r="C28" s="6"/>
      <c r="D28" s="6"/>
      <c r="E28" s="6">
        <f>+E26-E27</f>
        <v>2247</v>
      </c>
      <c r="F28" s="6">
        <f t="shared" ref="F28" si="40">+F26-F27</f>
        <v>63</v>
      </c>
      <c r="G28" s="6">
        <f>+G26-G27</f>
        <v>399</v>
      </c>
      <c r="H28" s="6">
        <f t="shared" ref="H28:J28" si="41">+H26-H27</f>
        <v>509</v>
      </c>
      <c r="I28" s="6">
        <f t="shared" si="41"/>
        <v>2545</v>
      </c>
      <c r="J28" s="6">
        <f t="shared" si="41"/>
        <v>122</v>
      </c>
      <c r="K28" s="6">
        <f>+K26-K27</f>
        <v>363</v>
      </c>
      <c r="L28" s="6">
        <f t="shared" ref="L28" si="42">+L26-L27</f>
        <v>632</v>
      </c>
      <c r="M28" s="6"/>
      <c r="O28" s="6">
        <f>+O26-O27</f>
        <v>2622</v>
      </c>
      <c r="P28" s="6">
        <f t="shared" ref="P28:Y28" si="43">+P26-P27</f>
        <v>3030</v>
      </c>
      <c r="Q28" s="6">
        <f t="shared" si="43"/>
        <v>3815</v>
      </c>
      <c r="R28" s="6">
        <f t="shared" si="43"/>
        <v>3995</v>
      </c>
      <c r="S28" s="6">
        <f t="shared" si="43"/>
        <v>5558.9980483999998</v>
      </c>
      <c r="T28" s="6">
        <f t="shared" si="43"/>
        <v>7173.4484370910013</v>
      </c>
      <c r="U28" s="6">
        <f t="shared" si="43"/>
        <v>9124.3391955737916</v>
      </c>
      <c r="V28" s="6">
        <f t="shared" si="43"/>
        <v>11473.079743122726</v>
      </c>
      <c r="W28" s="6">
        <f t="shared" si="43"/>
        <v>13800.992666274626</v>
      </c>
      <c r="X28" s="6">
        <f t="shared" si="43"/>
        <v>16223.052347135428</v>
      </c>
      <c r="Y28" s="6">
        <f t="shared" si="43"/>
        <v>19004.553515522082</v>
      </c>
      <c r="Z28" s="6">
        <f>+Y28*(1+$AB$4)</f>
        <v>19764.735656142966</v>
      </c>
      <c r="AA28" s="6">
        <f t="shared" ref="AA28:BK28" si="44">+Z28*(1+$AB$4)</f>
        <v>20555.325082388685</v>
      </c>
      <c r="AB28" s="6">
        <f t="shared" si="44"/>
        <v>21377.538085684231</v>
      </c>
      <c r="AC28" s="6">
        <f t="shared" si="44"/>
        <v>22232.6396091116</v>
      </c>
      <c r="AD28" s="6">
        <f t="shared" si="44"/>
        <v>23121.945193476065</v>
      </c>
      <c r="AE28" s="6">
        <f t="shared" si="44"/>
        <v>24046.823001215111</v>
      </c>
      <c r="AF28" s="6">
        <f t="shared" si="44"/>
        <v>25008.695921263716</v>
      </c>
      <c r="AG28" s="6">
        <f t="shared" si="44"/>
        <v>26009.043758114265</v>
      </c>
      <c r="AH28" s="6">
        <f t="shared" si="44"/>
        <v>27049.405508438838</v>
      </c>
      <c r="AI28" s="6">
        <f t="shared" si="44"/>
        <v>28131.381728776392</v>
      </c>
      <c r="AJ28" s="6">
        <f t="shared" si="44"/>
        <v>29256.63699792745</v>
      </c>
      <c r="AK28" s="6">
        <f t="shared" si="44"/>
        <v>30426.902477844549</v>
      </c>
      <c r="AL28" s="6">
        <f t="shared" si="44"/>
        <v>31643.978576958332</v>
      </c>
      <c r="AM28" s="6">
        <f t="shared" si="44"/>
        <v>32909.737720036668</v>
      </c>
      <c r="AN28" s="6">
        <f t="shared" si="44"/>
        <v>34226.127228838137</v>
      </c>
      <c r="AO28" s="6">
        <f t="shared" si="44"/>
        <v>35595.172317991666</v>
      </c>
      <c r="AP28" s="6">
        <f t="shared" si="44"/>
        <v>37018.979210711332</v>
      </c>
      <c r="AQ28" s="6">
        <f t="shared" si="44"/>
        <v>38499.738379139788</v>
      </c>
      <c r="AR28" s="6">
        <f t="shared" si="44"/>
        <v>40039.727914305382</v>
      </c>
      <c r="AS28" s="6">
        <f t="shared" si="44"/>
        <v>41641.317030877595</v>
      </c>
      <c r="AT28" s="6">
        <f t="shared" si="44"/>
        <v>43306.969712112703</v>
      </c>
      <c r="AU28" s="6">
        <f t="shared" si="44"/>
        <v>45039.248500597212</v>
      </c>
      <c r="AV28" s="6">
        <f t="shared" si="44"/>
        <v>46840.8184406211</v>
      </c>
      <c r="AW28" s="6">
        <f t="shared" si="44"/>
        <v>48714.451178245945</v>
      </c>
      <c r="AX28" s="6">
        <f t="shared" si="44"/>
        <v>50663.029225375787</v>
      </c>
      <c r="AY28" s="6">
        <f t="shared" si="44"/>
        <v>52689.550394390819</v>
      </c>
      <c r="AZ28" s="6">
        <f t="shared" si="44"/>
        <v>54797.13241016645</v>
      </c>
      <c r="BA28" s="6">
        <f t="shared" si="44"/>
        <v>56989.017706573111</v>
      </c>
      <c r="BB28" s="6">
        <f t="shared" si="44"/>
        <v>59268.57841483604</v>
      </c>
      <c r="BC28" s="6">
        <f t="shared" si="44"/>
        <v>61639.321551429486</v>
      </c>
      <c r="BD28" s="6">
        <f t="shared" si="44"/>
        <v>64104.894413486669</v>
      </c>
      <c r="BE28" s="6">
        <f t="shared" si="44"/>
        <v>66669.090190026138</v>
      </c>
      <c r="BF28" s="6">
        <f t="shared" si="44"/>
        <v>69335.853797627191</v>
      </c>
      <c r="BG28" s="6">
        <f t="shared" si="44"/>
        <v>72109.287949532285</v>
      </c>
      <c r="BH28" s="6">
        <f t="shared" si="44"/>
        <v>74993.659467513586</v>
      </c>
      <c r="BI28" s="6">
        <f t="shared" si="44"/>
        <v>77993.405846214126</v>
      </c>
      <c r="BJ28" s="6">
        <f t="shared" si="44"/>
        <v>81113.142080062695</v>
      </c>
      <c r="BK28" s="6">
        <f t="shared" si="44"/>
        <v>84357.667763265199</v>
      </c>
    </row>
    <row r="29" spans="2:63" x14ac:dyDescent="0.25">
      <c r="B29" s="1" t="s">
        <v>24</v>
      </c>
      <c r="E29" s="1">
        <v>283</v>
      </c>
      <c r="F29" s="1">
        <v>283</v>
      </c>
      <c r="G29" s="1">
        <v>283</v>
      </c>
      <c r="H29" s="1">
        <v>280</v>
      </c>
      <c r="I29" s="1">
        <v>284</v>
      </c>
      <c r="J29" s="1">
        <v>280</v>
      </c>
      <c r="K29" s="1">
        <v>283</v>
      </c>
      <c r="L29" s="1">
        <v>283</v>
      </c>
      <c r="O29" s="3">
        <v>284</v>
      </c>
      <c r="P29" s="3">
        <v>283</v>
      </c>
      <c r="Q29" s="3">
        <v>284</v>
      </c>
      <c r="R29" s="3"/>
      <c r="S29" s="3"/>
      <c r="T29" s="3"/>
      <c r="U29" s="3"/>
      <c r="V29" s="3"/>
      <c r="W29" s="3"/>
      <c r="X29" s="3"/>
      <c r="Y29" s="3"/>
    </row>
    <row r="30" spans="2:63" x14ac:dyDescent="0.25">
      <c r="B30" s="1" t="s">
        <v>25</v>
      </c>
      <c r="E30" s="12">
        <f>+E28/E29</f>
        <v>7.9399293286219077</v>
      </c>
      <c r="F30" s="12">
        <f t="shared" ref="F30" si="45">+F28/F29</f>
        <v>0.22261484098939929</v>
      </c>
      <c r="G30" s="12">
        <f>+G28/G29</f>
        <v>1.4098939929328622</v>
      </c>
      <c r="H30" s="12">
        <f t="shared" ref="H30:J30" si="46">+H28/H29</f>
        <v>1.8178571428571428</v>
      </c>
      <c r="I30" s="12">
        <f t="shared" si="46"/>
        <v>8.9612676056338021</v>
      </c>
      <c r="J30" s="12">
        <f t="shared" si="46"/>
        <v>0.43571428571428572</v>
      </c>
      <c r="K30" s="12">
        <f>+K28/K29</f>
        <v>1.2826855123674912</v>
      </c>
      <c r="L30" s="12">
        <f t="shared" ref="L30" si="47">+L28/L29</f>
        <v>2.2332155477031801</v>
      </c>
      <c r="O30" s="7">
        <f>+O28/O29</f>
        <v>9.2323943661971839</v>
      </c>
      <c r="P30" s="7">
        <f t="shared" ref="P30:Q30" si="48">+P28/P29</f>
        <v>10.706713780918728</v>
      </c>
      <c r="Q30" s="7">
        <f t="shared" si="48"/>
        <v>13.433098591549296</v>
      </c>
    </row>
    <row r="32" spans="2:63" x14ac:dyDescent="0.25">
      <c r="B32" s="1" t="s">
        <v>78</v>
      </c>
      <c r="G32" s="11">
        <f t="shared" ref="G32:K35" si="49">+G2/C2-1</f>
        <v>0.1946107784431137</v>
      </c>
      <c r="H32" s="11">
        <f t="shared" si="49"/>
        <v>0.18678160919540221</v>
      </c>
      <c r="I32" s="11">
        <f t="shared" si="49"/>
        <v>0.18948824343015214</v>
      </c>
      <c r="J32" s="11">
        <f t="shared" si="49"/>
        <v>0.17454068241469822</v>
      </c>
      <c r="K32" s="11">
        <f t="shared" si="49"/>
        <v>0.2092731829573935</v>
      </c>
      <c r="L32" s="11">
        <f>+L2/H2-1</f>
        <v>0.22033898305084754</v>
      </c>
      <c r="P32" s="8">
        <f t="shared" ref="P32" si="50">+P7/O7-1</f>
        <v>0.2442724458204335</v>
      </c>
      <c r="Q32" s="8">
        <f>+Q7/P7-1</f>
        <v>0.18599154018412545</v>
      </c>
    </row>
    <row r="33" spans="2:25" x14ac:dyDescent="0.25">
      <c r="B33" s="1" t="s">
        <v>79</v>
      </c>
      <c r="G33" s="11">
        <f t="shared" si="49"/>
        <v>0.20411160058737154</v>
      </c>
      <c r="H33" s="11">
        <f t="shared" si="49"/>
        <v>0.24028776978417277</v>
      </c>
      <c r="I33" s="11">
        <f t="shared" si="49"/>
        <v>0.19999999999999996</v>
      </c>
      <c r="J33" s="11">
        <f t="shared" si="49"/>
        <v>0.18757921419518375</v>
      </c>
      <c r="K33" s="11">
        <f t="shared" si="49"/>
        <v>0.19268292682926824</v>
      </c>
      <c r="L33" s="11">
        <f t="shared" ref="L33:L35" si="51">+L3/H3-1</f>
        <v>0.19489559164733183</v>
      </c>
      <c r="P33" s="8">
        <f t="shared" ref="P33:Q33" si="52">+P8/O8-1</f>
        <v>5.6194125159642505E-2</v>
      </c>
      <c r="Q33" s="8">
        <f t="shared" si="52"/>
        <v>7.4969770253929813E-2</v>
      </c>
    </row>
    <row r="34" spans="2:25" x14ac:dyDescent="0.25">
      <c r="B34" s="1" t="s">
        <v>80</v>
      </c>
      <c r="G34" s="11">
        <f t="shared" si="49"/>
        <v>0.20512820512820507</v>
      </c>
      <c r="H34" s="11">
        <f t="shared" si="49"/>
        <v>0.19069767441860463</v>
      </c>
      <c r="I34" s="11">
        <f t="shared" si="49"/>
        <v>0.20357142857142851</v>
      </c>
      <c r="J34" s="11">
        <f t="shared" si="49"/>
        <v>0.38613861386138604</v>
      </c>
      <c r="K34" s="11">
        <f t="shared" si="49"/>
        <v>-0.21276595744680848</v>
      </c>
      <c r="L34" s="11">
        <f t="shared" si="51"/>
        <v>0.2265625</v>
      </c>
      <c r="P34" s="8">
        <f t="shared" ref="P34:Q34" si="53">+P9/O9-1</f>
        <v>-9.4736842105263119E-2</v>
      </c>
      <c r="Q34" s="8">
        <f t="shared" si="53"/>
        <v>4.5287637698898431E-2</v>
      </c>
    </row>
    <row r="35" spans="2:25" x14ac:dyDescent="0.25">
      <c r="B35" s="1" t="s">
        <v>81</v>
      </c>
      <c r="G35" s="11">
        <f t="shared" si="49"/>
        <v>7.0336391437308965E-2</v>
      </c>
      <c r="H35" s="11">
        <f t="shared" si="49"/>
        <v>3.436426116838498E-2</v>
      </c>
      <c r="I35" s="11">
        <f t="shared" si="49"/>
        <v>8.4249084249084172E-2</v>
      </c>
      <c r="J35" s="11">
        <f t="shared" si="49"/>
        <v>9.7122302158273444E-2</v>
      </c>
      <c r="K35" s="11">
        <f t="shared" si="49"/>
        <v>-0.12857142857142856</v>
      </c>
      <c r="L35" s="11">
        <f t="shared" si="51"/>
        <v>5.980066445182719E-2</v>
      </c>
      <c r="P35" s="8">
        <f t="shared" ref="P35:Q35" si="54">+P10/O10-1</f>
        <v>2.7472527472527375E-2</v>
      </c>
      <c r="Q35" s="8">
        <f t="shared" si="54"/>
        <v>6.7736185383244107E-2</v>
      </c>
    </row>
    <row r="36" spans="2:25" x14ac:dyDescent="0.25">
      <c r="B36" s="1" t="s">
        <v>8</v>
      </c>
      <c r="I36" s="11">
        <f t="shared" ref="I36:L37" si="55">+I12/E12-1</f>
        <v>0.11917098445595853</v>
      </c>
      <c r="J36" s="11">
        <f t="shared" si="55"/>
        <v>0.14102564102564097</v>
      </c>
      <c r="K36" s="11">
        <f t="shared" si="55"/>
        <v>0.17918367346938768</v>
      </c>
      <c r="L36" s="11">
        <f t="shared" si="55"/>
        <v>0.20646119569253618</v>
      </c>
      <c r="P36" s="8">
        <f>+P12/O12-1</f>
        <v>0.12855048561480675</v>
      </c>
      <c r="Q36" s="8">
        <f>+Q12/P12-1</f>
        <v>0.12535520012990187</v>
      </c>
    </row>
    <row r="37" spans="2:25" x14ac:dyDescent="0.25">
      <c r="B37" s="1" t="s">
        <v>9</v>
      </c>
      <c r="I37" s="11">
        <f t="shared" si="55"/>
        <v>0.12214983713355054</v>
      </c>
      <c r="J37" s="11">
        <f t="shared" si="55"/>
        <v>0.38172043010752699</v>
      </c>
      <c r="K37" s="11">
        <f t="shared" si="55"/>
        <v>-0.25378787878787878</v>
      </c>
      <c r="L37" s="11">
        <f t="shared" si="55"/>
        <v>3.0303030303030276E-2</v>
      </c>
      <c r="P37" s="8">
        <f>+P13/O13-1</f>
        <v>0.13189845474613682</v>
      </c>
      <c r="Q37" s="8">
        <f>+Q13/P13-1</f>
        <v>0.18186250609458798</v>
      </c>
    </row>
    <row r="38" spans="2:25" x14ac:dyDescent="0.25">
      <c r="B38" s="4" t="s">
        <v>26</v>
      </c>
      <c r="C38" s="4"/>
      <c r="D38" s="4"/>
      <c r="E38" s="4"/>
      <c r="F38" s="4"/>
      <c r="G38" s="4"/>
      <c r="H38" s="4"/>
      <c r="I38" s="13">
        <f>+I15/E15-1</f>
        <v>0.11947490860751087</v>
      </c>
      <c r="J38" s="13">
        <f>+J15/F15-1</f>
        <v>0.17404129793510315</v>
      </c>
      <c r="K38" s="13">
        <f>+K15/G15-1</f>
        <v>0.10241773002014765</v>
      </c>
      <c r="L38" s="13">
        <f>+L15/H15-1</f>
        <v>0.1704075605434141</v>
      </c>
      <c r="M38" s="4"/>
      <c r="N38" s="4"/>
      <c r="O38" s="4"/>
      <c r="P38" s="9">
        <f>+P15/O15-1</f>
        <v>0.1290271884331291</v>
      </c>
      <c r="Q38" s="9">
        <f>+Q15/P15-1</f>
        <v>0.13342149220489974</v>
      </c>
      <c r="R38" s="9">
        <f>+R15/Q15-1</f>
        <v>0.11704513355848922</v>
      </c>
      <c r="S38" s="9">
        <f t="shared" ref="S38:Y38" si="56">+S15/R15-1</f>
        <v>0.10837183938501727</v>
      </c>
      <c r="T38" s="9">
        <f t="shared" si="56"/>
        <v>9.1806823344873445E-2</v>
      </c>
      <c r="U38" s="9">
        <f t="shared" si="56"/>
        <v>9.3119474167459693E-2</v>
      </c>
      <c r="V38" s="9">
        <f t="shared" si="56"/>
        <v>9.4398668277985154E-2</v>
      </c>
      <c r="W38" s="9">
        <f t="shared" si="56"/>
        <v>9.5642544249512129E-2</v>
      </c>
      <c r="X38" s="9">
        <f t="shared" si="56"/>
        <v>6.8869786192694349E-2</v>
      </c>
      <c r="Y38" s="9">
        <f t="shared" si="56"/>
        <v>6.9171777187341466E-2</v>
      </c>
    </row>
    <row r="40" spans="2:25" x14ac:dyDescent="0.25">
      <c r="B40" s="1" t="s">
        <v>8</v>
      </c>
      <c r="E40" s="8">
        <f t="shared" ref="E40:L41" si="57">+(E12-E16)/E12</f>
        <v>0.82901554404145072</v>
      </c>
      <c r="F40" s="8">
        <f t="shared" si="57"/>
        <v>0.71965811965811965</v>
      </c>
      <c r="G40" s="8">
        <f t="shared" si="57"/>
        <v>0.71142857142857141</v>
      </c>
      <c r="H40" s="8">
        <f t="shared" si="57"/>
        <v>0.70441886372075757</v>
      </c>
      <c r="I40" s="8">
        <f t="shared" si="57"/>
        <v>0.83234126984126988</v>
      </c>
      <c r="J40" s="8">
        <f t="shared" si="57"/>
        <v>0.72546816479400744</v>
      </c>
      <c r="K40" s="8">
        <f t="shared" si="57"/>
        <v>0.73277950848044304</v>
      </c>
      <c r="L40" s="8">
        <f t="shared" si="57"/>
        <v>0.72914742997845494</v>
      </c>
      <c r="O40" s="8">
        <f t="shared" ref="O40:Q41" si="58">+(O12-O16)/O12</f>
        <v>0.79879054425508522</v>
      </c>
      <c r="P40" s="8">
        <f t="shared" si="58"/>
        <v>0.76390354794186899</v>
      </c>
      <c r="Q40" s="8">
        <f t="shared" si="58"/>
        <v>0.7655291825986581</v>
      </c>
      <c r="R40" s="8"/>
      <c r="S40" s="8"/>
      <c r="T40" s="8"/>
      <c r="U40" s="8"/>
      <c r="V40" s="8"/>
      <c r="W40" s="8"/>
      <c r="X40" s="8"/>
      <c r="Y40" s="8"/>
    </row>
    <row r="41" spans="2:25" x14ac:dyDescent="0.25">
      <c r="B41" s="1" t="s">
        <v>9</v>
      </c>
      <c r="E41" s="8">
        <f t="shared" si="57"/>
        <v>0.97231270358306188</v>
      </c>
      <c r="F41" s="8">
        <f t="shared" si="57"/>
        <v>0.956989247311828</v>
      </c>
      <c r="G41" s="8">
        <f t="shared" si="57"/>
        <v>0.97159090909090906</v>
      </c>
      <c r="H41" s="8">
        <f t="shared" si="57"/>
        <v>0.96681096681096679</v>
      </c>
      <c r="I41" s="8">
        <f t="shared" si="57"/>
        <v>0.97532656023222064</v>
      </c>
      <c r="J41" s="8">
        <f t="shared" si="57"/>
        <v>0.97276264591439687</v>
      </c>
      <c r="K41" s="8">
        <f t="shared" si="57"/>
        <v>0.96446700507614214</v>
      </c>
      <c r="L41" s="8">
        <f t="shared" si="57"/>
        <v>0.97198879551820727</v>
      </c>
      <c r="O41" s="8">
        <f t="shared" si="58"/>
        <v>0.96136865342163358</v>
      </c>
      <c r="P41" s="8">
        <f t="shared" si="58"/>
        <v>0.96489517308629935</v>
      </c>
      <c r="Q41" s="8">
        <f t="shared" si="58"/>
        <v>0.97153465346534651</v>
      </c>
      <c r="R41" s="8"/>
      <c r="S41" s="8"/>
      <c r="T41" s="8"/>
      <c r="U41" s="8"/>
      <c r="V41" s="8"/>
      <c r="W41" s="8"/>
      <c r="X41" s="8"/>
      <c r="Y41" s="8"/>
    </row>
    <row r="42" spans="2:25" x14ac:dyDescent="0.25">
      <c r="B42" s="1" t="s">
        <v>27</v>
      </c>
      <c r="E42" s="8">
        <f>+E18/E15</f>
        <v>0.84363575938850122</v>
      </c>
      <c r="F42" s="8">
        <f>+F18/F15</f>
        <v>0.75221238938053092</v>
      </c>
      <c r="G42" s="8">
        <f>+G18/G15</f>
        <v>0.7575554063129617</v>
      </c>
      <c r="H42" s="8">
        <f>+H18/H15</f>
        <v>0.75812167749557002</v>
      </c>
      <c r="I42" s="8">
        <f>+I18/I15</f>
        <v>0.8469645242689624</v>
      </c>
      <c r="J42" s="8">
        <f t="shared" ref="J42" si="59">+J18/J15</f>
        <v>0.76538944723618085</v>
      </c>
      <c r="K42" s="8">
        <f>+K18/K15</f>
        <v>0.76058483094730434</v>
      </c>
      <c r="L42" s="8">
        <f>+L18/L15</f>
        <v>0.77289931869795614</v>
      </c>
      <c r="O42" s="8">
        <f>+O18/O15</f>
        <v>0.82193933679082198</v>
      </c>
      <c r="P42" s="8">
        <f>+P18/P15</f>
        <v>0.79259465478841873</v>
      </c>
      <c r="Q42" s="8">
        <f>+Q18/Q15</f>
        <v>0.79619281547436294</v>
      </c>
      <c r="R42" s="8">
        <f t="shared" ref="R42:Y42" si="60">+R18/R15</f>
        <v>0.78</v>
      </c>
      <c r="S42" s="8">
        <f t="shared" si="60"/>
        <v>0.79</v>
      </c>
      <c r="T42" s="8">
        <f t="shared" si="60"/>
        <v>0.79999999999999993</v>
      </c>
      <c r="U42" s="8">
        <f t="shared" si="60"/>
        <v>0.8</v>
      </c>
      <c r="V42" s="8">
        <f t="shared" si="60"/>
        <v>0.81</v>
      </c>
      <c r="W42" s="8">
        <f t="shared" si="60"/>
        <v>0.81</v>
      </c>
      <c r="X42" s="8">
        <f t="shared" si="60"/>
        <v>0.81</v>
      </c>
      <c r="Y42" s="8">
        <f t="shared" si="60"/>
        <v>0.81</v>
      </c>
    </row>
    <row r="43" spans="2:25" x14ac:dyDescent="0.25">
      <c r="B43" s="1" t="s">
        <v>28</v>
      </c>
      <c r="E43" s="8">
        <f>+E23/E15</f>
        <v>0.48820206048521103</v>
      </c>
      <c r="F43" s="8">
        <f>+F23/F15</f>
        <v>6.6002949852507375E-2</v>
      </c>
      <c r="G43" s="8">
        <f>+G23/G15</f>
        <v>0.15614506380120888</v>
      </c>
      <c r="H43" s="8">
        <f>+H23/H15</f>
        <v>0.15505020673360898</v>
      </c>
      <c r="I43" s="8">
        <f>+I23/I15</f>
        <v>0.48404334273415467</v>
      </c>
      <c r="J43" s="8">
        <f t="shared" ref="J43" si="61">+J23/J15</f>
        <v>7.2550251256281409E-2</v>
      </c>
      <c r="K43" s="8">
        <f>+K23/K15</f>
        <v>0.13310996040207126</v>
      </c>
      <c r="L43" s="8">
        <f>+L23/L15</f>
        <v>0.19025990411304566</v>
      </c>
      <c r="O43" s="8">
        <f>+O23/O15</f>
        <v>0.24571742888574571</v>
      </c>
      <c r="P43" s="8">
        <f>+P23/P15</f>
        <v>0.26357182628062359</v>
      </c>
      <c r="Q43" s="8">
        <f>+Q23/Q15</f>
        <v>0.27522259748234573</v>
      </c>
      <c r="R43" s="8">
        <f>+R23/R15</f>
        <v>0.25836838714358906</v>
      </c>
    </row>
    <row r="44" spans="2:25" x14ac:dyDescent="0.25">
      <c r="B44" s="1" t="s">
        <v>29</v>
      </c>
      <c r="E44" s="8">
        <f>+E28/E15</f>
        <v>0.37337986041874377</v>
      </c>
      <c r="F44" s="8">
        <f>+F28/F15</f>
        <v>2.3230088495575223E-2</v>
      </c>
      <c r="G44" s="8">
        <f>+G28/G15</f>
        <v>0.13398253861652115</v>
      </c>
      <c r="H44" s="8">
        <f>+H28/H15</f>
        <v>0.15032486709982279</v>
      </c>
      <c r="I44" s="8">
        <f>+I28/I15</f>
        <v>0.37776458364257087</v>
      </c>
      <c r="J44" s="8">
        <f t="shared" ref="J44" si="62">+J28/J15</f>
        <v>3.8316582914572864E-2</v>
      </c>
      <c r="K44" s="8">
        <f>+K28/K15</f>
        <v>0.11056960097471824</v>
      </c>
      <c r="L44" s="8">
        <f>+L28/L15</f>
        <v>0.15947514509210195</v>
      </c>
      <c r="O44" s="8">
        <f>+O28/O15</f>
        <v>0.20603488920320603</v>
      </c>
      <c r="P44" s="8">
        <f>+P28/P15</f>
        <v>0.21088530066815145</v>
      </c>
      <c r="Q44" s="8">
        <f>+Q28/Q15</f>
        <v>0.23426466073073379</v>
      </c>
    </row>
    <row r="46" spans="2:25" x14ac:dyDescent="0.25">
      <c r="B46" s="1" t="s">
        <v>23</v>
      </c>
      <c r="O46" s="3">
        <f t="shared" ref="O46:P46" si="63">+O28</f>
        <v>2622</v>
      </c>
      <c r="P46" s="3">
        <f t="shared" si="63"/>
        <v>3030</v>
      </c>
      <c r="Q46" s="3">
        <f>+Q28</f>
        <v>3815</v>
      </c>
    </row>
    <row r="47" spans="2:25" x14ac:dyDescent="0.25">
      <c r="B47" s="1" t="s">
        <v>30</v>
      </c>
      <c r="O47" s="1">
        <f>187+559</f>
        <v>746</v>
      </c>
      <c r="P47" s="1">
        <f>160+646</f>
        <v>806</v>
      </c>
      <c r="Q47" s="1">
        <f>159+630</f>
        <v>789</v>
      </c>
    </row>
    <row r="48" spans="2:25" x14ac:dyDescent="0.25">
      <c r="B48" s="1" t="s">
        <v>31</v>
      </c>
      <c r="O48" s="1">
        <v>83</v>
      </c>
      <c r="P48" s="1">
        <v>90</v>
      </c>
      <c r="Q48" s="1">
        <v>81</v>
      </c>
    </row>
    <row r="49" spans="2:17" x14ac:dyDescent="0.25">
      <c r="B49" s="1" t="s">
        <v>32</v>
      </c>
      <c r="O49" s="1">
        <v>1308</v>
      </c>
      <c r="P49" s="1">
        <v>1712</v>
      </c>
      <c r="Q49" s="1">
        <v>1940</v>
      </c>
    </row>
    <row r="50" spans="2:17" x14ac:dyDescent="0.25">
      <c r="B50" s="1" t="s">
        <v>33</v>
      </c>
      <c r="O50" s="1">
        <v>120</v>
      </c>
      <c r="P50" s="1">
        <v>-628</v>
      </c>
      <c r="Q50" s="1">
        <v>-554</v>
      </c>
    </row>
    <row r="51" spans="2:17" x14ac:dyDescent="0.25">
      <c r="B51" s="1" t="s">
        <v>34</v>
      </c>
      <c r="O51" s="1">
        <v>2</v>
      </c>
      <c r="P51" s="1">
        <v>81</v>
      </c>
      <c r="Q51" s="1">
        <v>92</v>
      </c>
    </row>
    <row r="52" spans="2:17" x14ac:dyDescent="0.25">
      <c r="B52" s="1" t="s">
        <v>35</v>
      </c>
      <c r="Q52" s="1">
        <v>-96</v>
      </c>
    </row>
    <row r="53" spans="2:17" x14ac:dyDescent="0.25">
      <c r="B53" s="1" t="s">
        <v>36</v>
      </c>
      <c r="Q53" s="1">
        <v>98</v>
      </c>
    </row>
    <row r="54" spans="2:17" x14ac:dyDescent="0.25">
      <c r="B54" s="1" t="s">
        <v>37</v>
      </c>
      <c r="O54" s="1">
        <f>-31+29-121-95-357+71-83+6+145</f>
        <v>-436</v>
      </c>
      <c r="P54" s="1">
        <f>42+64-75-97+88+111-81+690-141</f>
        <v>601</v>
      </c>
      <c r="Q54" s="1">
        <f>-52-48-30+133+257-49-71-691+122</f>
        <v>-429</v>
      </c>
    </row>
    <row r="55" spans="2:17" x14ac:dyDescent="0.25">
      <c r="B55" s="4" t="s">
        <v>38</v>
      </c>
      <c r="C55" s="4"/>
      <c r="D55" s="4"/>
      <c r="E55" s="4"/>
      <c r="F55" s="4"/>
      <c r="G55" s="4">
        <v>-97</v>
      </c>
      <c r="H55" s="4"/>
      <c r="I55" s="4"/>
      <c r="J55" s="4"/>
      <c r="K55" s="4">
        <v>362</v>
      </c>
      <c r="L55" s="4"/>
      <c r="M55" s="4"/>
      <c r="N55" s="4"/>
      <c r="O55" s="6">
        <f t="shared" ref="O55:P55" si="64">+SUM(O46:O54)</f>
        <v>4445</v>
      </c>
      <c r="P55" s="6">
        <f t="shared" si="64"/>
        <v>5692</v>
      </c>
      <c r="Q55" s="6">
        <f>+SUM(Q46:Q54)</f>
        <v>5736</v>
      </c>
    </row>
    <row r="57" spans="2:17" x14ac:dyDescent="0.25">
      <c r="B57" s="1" t="s">
        <v>49</v>
      </c>
      <c r="O57" s="3">
        <v>-830</v>
      </c>
      <c r="P57" s="3">
        <v>-1015</v>
      </c>
      <c r="Q57" s="3">
        <v>-780</v>
      </c>
    </row>
    <row r="58" spans="2:17" x14ac:dyDescent="0.25">
      <c r="B58" s="1" t="s">
        <v>39</v>
      </c>
      <c r="O58" s="3">
        <v>1524</v>
      </c>
      <c r="P58" s="3">
        <v>240</v>
      </c>
      <c r="Q58" s="3">
        <v>526</v>
      </c>
    </row>
    <row r="59" spans="2:17" x14ac:dyDescent="0.25">
      <c r="B59" s="1" t="s">
        <v>40</v>
      </c>
      <c r="O59" s="3">
        <v>234</v>
      </c>
      <c r="P59" s="3">
        <v>449</v>
      </c>
      <c r="Q59" s="3">
        <v>676</v>
      </c>
    </row>
    <row r="60" spans="2:17" x14ac:dyDescent="0.25">
      <c r="B60" s="1" t="s">
        <v>41</v>
      </c>
      <c r="G60" s="1">
        <v>84</v>
      </c>
      <c r="K60" s="1">
        <v>33</v>
      </c>
      <c r="O60" s="3">
        <v>-157</v>
      </c>
      <c r="P60" s="3">
        <v>-210</v>
      </c>
      <c r="Q60" s="3">
        <v>-191</v>
      </c>
    </row>
    <row r="61" spans="2:17" x14ac:dyDescent="0.25">
      <c r="B61" s="1" t="s">
        <v>42</v>
      </c>
      <c r="O61" s="3">
        <v>-72</v>
      </c>
      <c r="P61" s="3">
        <v>-50</v>
      </c>
      <c r="Q61" s="3">
        <v>-59</v>
      </c>
    </row>
    <row r="62" spans="2:17" x14ac:dyDescent="0.25">
      <c r="B62" s="1" t="s">
        <v>43</v>
      </c>
      <c r="O62" s="3">
        <v>-5682</v>
      </c>
      <c r="P62" s="3">
        <v>-33</v>
      </c>
      <c r="Q62" s="3">
        <v>-83</v>
      </c>
    </row>
    <row r="63" spans="2:17" x14ac:dyDescent="0.25">
      <c r="B63" s="1" t="s">
        <v>44</v>
      </c>
      <c r="O63" s="3">
        <v>-933</v>
      </c>
      <c r="P63" s="3">
        <v>-1983</v>
      </c>
      <c r="Q63" s="3">
        <v>-2538</v>
      </c>
    </row>
    <row r="64" spans="2:17" x14ac:dyDescent="0.25">
      <c r="B64" s="1" t="s">
        <v>45</v>
      </c>
      <c r="O64" s="3"/>
      <c r="P64" s="3"/>
      <c r="Q64" s="3">
        <v>234</v>
      </c>
    </row>
    <row r="65" spans="2:17" x14ac:dyDescent="0.25">
      <c r="B65" s="1" t="s">
        <v>46</v>
      </c>
      <c r="O65" s="3">
        <v>519</v>
      </c>
      <c r="P65" s="3">
        <v>1727</v>
      </c>
      <c r="Q65" s="3">
        <v>2068</v>
      </c>
    </row>
    <row r="66" spans="2:17" x14ac:dyDescent="0.25">
      <c r="B66" s="1" t="s">
        <v>47</v>
      </c>
      <c r="O66" s="3">
        <v>-24</v>
      </c>
      <c r="P66" s="3">
        <v>-47</v>
      </c>
      <c r="Q66" s="3">
        <v>-80</v>
      </c>
    </row>
    <row r="67" spans="2:17" x14ac:dyDescent="0.25">
      <c r="B67" s="1" t="s">
        <v>48</v>
      </c>
      <c r="O67" s="3">
        <f t="shared" ref="O67:P67" si="65">+SUM(O57:O66)</f>
        <v>-5421</v>
      </c>
      <c r="P67" s="3">
        <f t="shared" si="65"/>
        <v>-922</v>
      </c>
      <c r="Q67" s="3">
        <f>+SUM(Q57:Q66)</f>
        <v>-227</v>
      </c>
    </row>
    <row r="68" spans="2:17" x14ac:dyDescent="0.25">
      <c r="O68" s="3"/>
      <c r="P68" s="3"/>
      <c r="Q68" s="3"/>
    </row>
    <row r="69" spans="2:17" x14ac:dyDescent="0.25">
      <c r="B69" s="1" t="s">
        <v>50</v>
      </c>
      <c r="O69" s="3">
        <v>4700</v>
      </c>
      <c r="P69" s="3"/>
      <c r="Q69" s="3">
        <v>3956</v>
      </c>
    </row>
    <row r="70" spans="2:17" x14ac:dyDescent="0.25">
      <c r="B70" s="1" t="s">
        <v>51</v>
      </c>
      <c r="O70" s="3"/>
      <c r="P70" s="3">
        <v>-1009</v>
      </c>
      <c r="Q70" s="3">
        <v>-4200</v>
      </c>
    </row>
    <row r="71" spans="2:17" x14ac:dyDescent="0.25">
      <c r="B71" s="1" t="s">
        <v>52</v>
      </c>
      <c r="O71" s="3"/>
      <c r="P71" s="3"/>
      <c r="Q71" s="3">
        <v>100</v>
      </c>
    </row>
    <row r="72" spans="2:17" x14ac:dyDescent="0.25">
      <c r="B72" s="1" t="s">
        <v>53</v>
      </c>
      <c r="O72" s="3"/>
      <c r="P72" s="3"/>
      <c r="Q72" s="3">
        <v>-100</v>
      </c>
    </row>
    <row r="73" spans="2:17" x14ac:dyDescent="0.25">
      <c r="B73" s="1" t="s">
        <v>60</v>
      </c>
      <c r="O73" s="3">
        <v>182</v>
      </c>
      <c r="P73" s="3">
        <v>222</v>
      </c>
      <c r="Q73" s="3">
        <v>180</v>
      </c>
    </row>
    <row r="74" spans="2:17" x14ac:dyDescent="0.25">
      <c r="B74" s="1" t="s">
        <v>53</v>
      </c>
      <c r="O74" s="3"/>
      <c r="P74" s="3">
        <v>-23</v>
      </c>
      <c r="Q74" s="3">
        <v>-25</v>
      </c>
    </row>
    <row r="75" spans="2:17" x14ac:dyDescent="0.25">
      <c r="B75" s="1" t="s">
        <v>54</v>
      </c>
      <c r="O75" s="3">
        <v>162</v>
      </c>
      <c r="P75" s="3">
        <v>228</v>
      </c>
      <c r="Q75" s="3">
        <v>282</v>
      </c>
    </row>
    <row r="76" spans="2:17" x14ac:dyDescent="0.25">
      <c r="B76" s="1" t="s">
        <v>55</v>
      </c>
      <c r="O76" s="3">
        <v>-611</v>
      </c>
      <c r="P76" s="3">
        <v>-633</v>
      </c>
      <c r="Q76" s="3">
        <v>-1002</v>
      </c>
    </row>
    <row r="77" spans="2:17" x14ac:dyDescent="0.25">
      <c r="B77" s="1" t="s">
        <v>56</v>
      </c>
      <c r="O77" s="3">
        <v>-1861</v>
      </c>
      <c r="P77" s="3">
        <v>-1967</v>
      </c>
      <c r="Q77" s="3">
        <v>-1988</v>
      </c>
    </row>
    <row r="78" spans="2:17" x14ac:dyDescent="0.25">
      <c r="B78" s="1" t="s">
        <v>57</v>
      </c>
      <c r="O78" s="3">
        <v>-774</v>
      </c>
      <c r="P78" s="3">
        <v>-889</v>
      </c>
      <c r="Q78" s="3">
        <v>-1034</v>
      </c>
    </row>
    <row r="79" spans="2:17" x14ac:dyDescent="0.25">
      <c r="B79" s="1" t="s">
        <v>58</v>
      </c>
      <c r="O79" s="3">
        <v>-56</v>
      </c>
      <c r="P79" s="3">
        <v>-197</v>
      </c>
      <c r="Q79" s="3">
        <v>3436</v>
      </c>
    </row>
    <row r="80" spans="2:17" x14ac:dyDescent="0.25">
      <c r="B80" s="1" t="s">
        <v>34</v>
      </c>
      <c r="O80" s="3">
        <v>-10</v>
      </c>
      <c r="P80" s="3">
        <v>-1</v>
      </c>
      <c r="Q80" s="3">
        <v>-2</v>
      </c>
    </row>
    <row r="81" spans="2:25" x14ac:dyDescent="0.25">
      <c r="B81" s="1" t="s">
        <v>59</v>
      </c>
      <c r="O81" s="3">
        <f t="shared" ref="O81:P81" si="66">+SUM(O69:O80)</f>
        <v>1732</v>
      </c>
      <c r="P81" s="3">
        <f t="shared" si="66"/>
        <v>-4269</v>
      </c>
      <c r="Q81" s="3">
        <f>+SUM(Q69:Q80)</f>
        <v>-397</v>
      </c>
    </row>
    <row r="82" spans="2:25" x14ac:dyDescent="0.25">
      <c r="B82" s="1" t="s">
        <v>61</v>
      </c>
      <c r="O82" s="1">
        <v>-22</v>
      </c>
      <c r="Q82" s="1">
        <v>-13</v>
      </c>
    </row>
    <row r="83" spans="2:25" x14ac:dyDescent="0.25">
      <c r="B83" s="1" t="s">
        <v>62</v>
      </c>
      <c r="O83" s="3">
        <f t="shared" ref="O83:P83" si="67">+O55+O67+O81+O82</f>
        <v>734</v>
      </c>
      <c r="P83" s="3">
        <f t="shared" si="67"/>
        <v>501</v>
      </c>
      <c r="Q83" s="3">
        <f>+Q55+Q67+Q81+Q82</f>
        <v>5099</v>
      </c>
    </row>
    <row r="85" spans="2:25" x14ac:dyDescent="0.25">
      <c r="B85" s="4" t="s">
        <v>63</v>
      </c>
      <c r="C85" s="4"/>
      <c r="D85" s="4"/>
      <c r="E85" s="4"/>
      <c r="F85" s="4"/>
      <c r="G85" s="6">
        <f>+G55+G60+G61</f>
        <v>-13</v>
      </c>
      <c r="H85" s="4"/>
      <c r="I85" s="4"/>
      <c r="J85" s="4"/>
      <c r="K85" s="6">
        <f>+K55+K60+K61</f>
        <v>395</v>
      </c>
      <c r="L85" s="4"/>
      <c r="M85" s="4"/>
      <c r="N85" s="4"/>
      <c r="O85" s="6">
        <f>+O55+O60+O61</f>
        <v>4216</v>
      </c>
      <c r="P85" s="6">
        <f t="shared" ref="P85" si="68">+P55+P60+P61</f>
        <v>5432</v>
      </c>
      <c r="Q85" s="6">
        <f>+Q55+Q60+Q61</f>
        <v>5486</v>
      </c>
    </row>
    <row r="87" spans="2:25" x14ac:dyDescent="0.25">
      <c r="B87" s="1" t="s">
        <v>86</v>
      </c>
    </row>
    <row r="88" spans="2:25" x14ac:dyDescent="0.25">
      <c r="B88" s="1" t="s">
        <v>14</v>
      </c>
      <c r="O88" s="8">
        <f t="shared" ref="O88:P88" si="69">+O19/O$15</f>
        <v>0.27707056419927706</v>
      </c>
      <c r="P88" s="8">
        <f t="shared" si="69"/>
        <v>0.26183184855233854</v>
      </c>
      <c r="Q88" s="8">
        <f>+Q19/Q$15</f>
        <v>0.2647835431378569</v>
      </c>
      <c r="R88" s="8">
        <f t="shared" ref="R88:Y88" si="70">+R19/R$15</f>
        <v>0.26</v>
      </c>
      <c r="S88" s="8">
        <f t="shared" si="70"/>
        <v>0.25</v>
      </c>
      <c r="T88" s="8">
        <f t="shared" si="70"/>
        <v>0.25</v>
      </c>
      <c r="U88" s="8">
        <f t="shared" si="70"/>
        <v>0.23</v>
      </c>
      <c r="V88" s="8">
        <f t="shared" si="70"/>
        <v>0.22999999999999998</v>
      </c>
      <c r="W88" s="8">
        <f t="shared" si="70"/>
        <v>0.23</v>
      </c>
      <c r="X88" s="8">
        <f t="shared" si="70"/>
        <v>0.23</v>
      </c>
      <c r="Y88" s="8">
        <f t="shared" si="70"/>
        <v>0.23</v>
      </c>
    </row>
    <row r="89" spans="2:25" x14ac:dyDescent="0.25">
      <c r="B89" s="1" t="s">
        <v>15</v>
      </c>
      <c r="O89" s="8">
        <f t="shared" ref="O89:Q89" si="71">+O20/O$15</f>
        <v>0.18442558541568443</v>
      </c>
      <c r="P89" s="8">
        <f t="shared" si="71"/>
        <v>0.17671213808463251</v>
      </c>
      <c r="Q89" s="8">
        <f t="shared" si="71"/>
        <v>0.16911268038071844</v>
      </c>
      <c r="R89" s="8">
        <f t="shared" ref="R89:Y89" si="72">+R20/R$15</f>
        <v>0.16</v>
      </c>
      <c r="S89" s="8">
        <f t="shared" si="72"/>
        <v>0.16</v>
      </c>
      <c r="T89" s="8">
        <f t="shared" si="72"/>
        <v>0.15</v>
      </c>
      <c r="U89" s="8">
        <f t="shared" si="72"/>
        <v>0.15</v>
      </c>
      <c r="V89" s="8">
        <f t="shared" si="72"/>
        <v>0.14000000000000001</v>
      </c>
      <c r="W89" s="8">
        <f t="shared" si="72"/>
        <v>0.14000000000000001</v>
      </c>
      <c r="X89" s="8">
        <f t="shared" si="72"/>
        <v>0.14000000000000001</v>
      </c>
      <c r="Y89" s="8">
        <f t="shared" si="72"/>
        <v>0.14000000000000001</v>
      </c>
    </row>
    <row r="90" spans="2:25" x14ac:dyDescent="0.25">
      <c r="B90" s="1" t="s">
        <v>16</v>
      </c>
      <c r="O90" s="8">
        <f t="shared" ref="O90:Q90" si="73">+O21/O$15</f>
        <v>0.11472575829011472</v>
      </c>
      <c r="P90" s="8">
        <f t="shared" si="73"/>
        <v>9.0478841870824056E-2</v>
      </c>
      <c r="Q90" s="8">
        <f t="shared" si="73"/>
        <v>8.7073994473441815E-2</v>
      </c>
      <c r="R90" s="8">
        <f t="shared" ref="R90:Y90" si="74">+R21/R$15</f>
        <v>8.1847806727253156E-2</v>
      </c>
      <c r="S90" s="8">
        <f t="shared" si="74"/>
        <v>7.753733360033753E-2</v>
      </c>
      <c r="T90" s="8">
        <f t="shared" si="74"/>
        <v>7.4568319724301432E-2</v>
      </c>
      <c r="U90" s="8">
        <f t="shared" si="74"/>
        <v>7.1626878452740725E-2</v>
      </c>
      <c r="V90" s="8">
        <f t="shared" si="74"/>
        <v>6.8721047051086462E-2</v>
      </c>
      <c r="W90" s="8">
        <f t="shared" si="74"/>
        <v>6.5858248917366205E-2</v>
      </c>
      <c r="X90" s="8">
        <f t="shared" si="74"/>
        <v>6.4695589917973445E-2</v>
      </c>
      <c r="Y90" s="8">
        <f t="shared" si="74"/>
        <v>6.3535505578510315E-2</v>
      </c>
    </row>
    <row r="92" spans="2:25" x14ac:dyDescent="0.25">
      <c r="B92" s="1" t="s">
        <v>87</v>
      </c>
      <c r="Q92" s="3">
        <f>+main!L6-main!L7</f>
        <v>-1051</v>
      </c>
      <c r="R92" s="3">
        <f>+Q92+R28</f>
        <v>2944</v>
      </c>
      <c r="S92" s="3">
        <f t="shared" ref="S92:Y92" si="75">+R92+S28</f>
        <v>8502.9980484000007</v>
      </c>
      <c r="T92" s="3">
        <f t="shared" si="75"/>
        <v>15676.446485491002</v>
      </c>
      <c r="U92" s="3">
        <f t="shared" si="75"/>
        <v>24800.785681064794</v>
      </c>
      <c r="V92" s="3">
        <f t="shared" si="75"/>
        <v>36273.865424187519</v>
      </c>
      <c r="W92" s="3">
        <f t="shared" si="75"/>
        <v>50074.858090462149</v>
      </c>
      <c r="X92" s="3">
        <f t="shared" si="75"/>
        <v>66297.910437597573</v>
      </c>
      <c r="Y92" s="3">
        <f t="shared" si="75"/>
        <v>85302.463953119659</v>
      </c>
    </row>
  </sheetData>
  <hyperlinks>
    <hyperlink ref="A1" location="main!A1" display="main" xr:uid="{E0D5001C-8CC4-435D-A25B-E01EEA941EB5}"/>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2024-10-04T20:04:09Z</dcterms:created>
  <dcterms:modified xsi:type="dcterms:W3CDTF">2025-04-11T15:36:14Z</dcterms:modified>
</cp:coreProperties>
</file>