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202300"/>
  <mc:AlternateContent xmlns:mc="http://schemas.openxmlformats.org/markup-compatibility/2006">
    <mc:Choice Requires="x15">
      <x15ac:absPath xmlns:x15ac="http://schemas.microsoft.com/office/spreadsheetml/2010/11/ac" url="https://phdisegutl-my.sharepoint.com/personal/l59357_aln_iseg_ulisboa_pt/Documents/Desktop/Models/"/>
    </mc:Choice>
  </mc:AlternateContent>
  <xr:revisionPtr revIDLastSave="715" documentId="8_{85744044-E063-4D88-8D5D-DCC1266028AC}" xr6:coauthVersionLast="47" xr6:coauthVersionMax="47" xr10:uidLastSave="{1B59D480-FF17-4C8C-9AFB-5B312C139947}"/>
  <bookViews>
    <workbookView xWindow="28680" yWindow="-990" windowWidth="29040" windowHeight="15720" activeTab="1" xr2:uid="{9029735D-3329-4F38-BC9B-A5EB12F66375}"/>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0" i="2" l="1"/>
  <c r="AJ9" i="2"/>
  <c r="AJ7" i="2"/>
  <c r="AJ6" i="2"/>
  <c r="AJ8" i="2" s="1"/>
  <c r="AJ11" i="2" s="1"/>
  <c r="AJ1" i="2"/>
  <c r="AJ13" i="2" l="1"/>
  <c r="AJ16" i="2"/>
  <c r="AJ17" i="2"/>
  <c r="AJ12" i="2"/>
  <c r="AJ14" i="2" s="1"/>
  <c r="AJ15" i="2" s="1"/>
  <c r="AJ18" i="2"/>
  <c r="AJ19" i="2" l="1"/>
  <c r="AJ20" i="2" s="1"/>
  <c r="AC50" i="2" l="1"/>
  <c r="AB46" i="2"/>
  <c r="AA46" i="2"/>
  <c r="Z46" i="2"/>
  <c r="Y46" i="2"/>
  <c r="X46" i="2"/>
  <c r="W46" i="2"/>
  <c r="V46" i="2"/>
  <c r="U46" i="2"/>
  <c r="T46" i="2"/>
  <c r="S46" i="2"/>
  <c r="R46" i="2"/>
  <c r="Q46" i="2"/>
  <c r="AC46" i="2"/>
  <c r="J6" i="1"/>
  <c r="J5" i="1"/>
  <c r="J8" i="1" s="1"/>
  <c r="W39" i="2"/>
  <c r="V39" i="2"/>
  <c r="U39" i="2"/>
  <c r="T39" i="2"/>
  <c r="S39" i="2"/>
  <c r="R39" i="2"/>
  <c r="Q39" i="2"/>
  <c r="Z37" i="2"/>
  <c r="Y37" i="2"/>
  <c r="X37" i="2"/>
  <c r="W37" i="2"/>
  <c r="V37" i="2"/>
  <c r="U37" i="2"/>
  <c r="T37" i="2"/>
  <c r="S37" i="2"/>
  <c r="R37" i="2"/>
  <c r="W20" i="2"/>
  <c r="W40" i="2" s="1"/>
  <c r="V20" i="2"/>
  <c r="V40" i="2" s="1"/>
  <c r="U20" i="2"/>
  <c r="U40" i="2" s="1"/>
  <c r="T20" i="2"/>
  <c r="T40" i="2" s="1"/>
  <c r="S20" i="2"/>
  <c r="S40" i="2" s="1"/>
  <c r="R20" i="2"/>
  <c r="R40" i="2" s="1"/>
  <c r="Y15" i="2"/>
  <c r="Y39" i="2" s="1"/>
  <c r="X15" i="2"/>
  <c r="X39" i="2" s="1"/>
  <c r="W15" i="2"/>
  <c r="V15" i="2"/>
  <c r="U15" i="2"/>
  <c r="T15" i="2"/>
  <c r="S15" i="2"/>
  <c r="R15" i="2"/>
  <c r="Q15" i="2"/>
  <c r="Q20" i="2" s="1"/>
  <c r="Q40" i="2" s="1"/>
  <c r="Y1" i="2"/>
  <c r="X1" i="2" s="1"/>
  <c r="W1" i="2" s="1"/>
  <c r="V1" i="2" s="1"/>
  <c r="U1" i="2" s="1"/>
  <c r="T1" i="2" s="1"/>
  <c r="S1" i="2" s="1"/>
  <c r="R1" i="2" s="1"/>
  <c r="Q1" i="2" s="1"/>
  <c r="AD7" i="2"/>
  <c r="AE7" i="2" s="1"/>
  <c r="AF7" i="2" s="1"/>
  <c r="AG7" i="2" s="1"/>
  <c r="AH7" i="2" s="1"/>
  <c r="AI7" i="2" s="1"/>
  <c r="AI33" i="2" s="1"/>
  <c r="AD6" i="2"/>
  <c r="AE6" i="2" s="1"/>
  <c r="AF6" i="2" s="1"/>
  <c r="AG6" i="2" s="1"/>
  <c r="AH6" i="2" s="1"/>
  <c r="AI6" i="2" s="1"/>
  <c r="AC31" i="2"/>
  <c r="AC30" i="2"/>
  <c r="AC29" i="2"/>
  <c r="AC33" i="2"/>
  <c r="AC32" i="2"/>
  <c r="AD9" i="2"/>
  <c r="AC8" i="2"/>
  <c r="K33" i="2"/>
  <c r="K32" i="2"/>
  <c r="K31" i="2"/>
  <c r="K30" i="2"/>
  <c r="K29" i="2"/>
  <c r="AB36" i="2"/>
  <c r="AA36" i="2"/>
  <c r="AB35" i="2"/>
  <c r="AA35" i="2"/>
  <c r="AA34" i="2"/>
  <c r="AB34" i="2"/>
  <c r="AB33" i="2"/>
  <c r="AA33" i="2"/>
  <c r="AA32" i="2"/>
  <c r="AB32" i="2"/>
  <c r="AB31" i="2"/>
  <c r="AA31" i="2"/>
  <c r="AB30" i="2"/>
  <c r="AA30" i="2"/>
  <c r="AA29" i="2"/>
  <c r="AB29" i="2"/>
  <c r="L36" i="2"/>
  <c r="K36" i="2"/>
  <c r="J36" i="2"/>
  <c r="I36" i="2"/>
  <c r="H36" i="2"/>
  <c r="G36" i="2"/>
  <c r="L35" i="2"/>
  <c r="K35" i="2"/>
  <c r="J35" i="2"/>
  <c r="I35" i="2"/>
  <c r="H35" i="2"/>
  <c r="G35" i="2"/>
  <c r="K34" i="2"/>
  <c r="J34" i="2"/>
  <c r="I34" i="2"/>
  <c r="H34" i="2"/>
  <c r="G34" i="2"/>
  <c r="L34" i="2"/>
  <c r="L78" i="2"/>
  <c r="L33" i="2"/>
  <c r="L32" i="2"/>
  <c r="L31" i="2"/>
  <c r="L30" i="2"/>
  <c r="L29" i="2"/>
  <c r="D45" i="2"/>
  <c r="E45" i="2" s="1"/>
  <c r="D44" i="2"/>
  <c r="E44" i="2" s="1"/>
  <c r="D43" i="2"/>
  <c r="E43" i="2" s="1"/>
  <c r="F46" i="2"/>
  <c r="C46" i="2"/>
  <c r="N46" i="2"/>
  <c r="M46" i="2"/>
  <c r="K46" i="2"/>
  <c r="J46" i="2"/>
  <c r="G46" i="2"/>
  <c r="H74" i="2"/>
  <c r="L74" i="2"/>
  <c r="H50" i="2"/>
  <c r="H64" i="2" s="1"/>
  <c r="L50" i="2"/>
  <c r="L64" i="2" s="1"/>
  <c r="H45" i="2"/>
  <c r="I45" i="2" s="1"/>
  <c r="H44" i="2"/>
  <c r="I44" i="2" s="1"/>
  <c r="H43" i="2"/>
  <c r="I43" i="2" s="1"/>
  <c r="L45" i="2"/>
  <c r="L44" i="2"/>
  <c r="L43" i="2"/>
  <c r="AI46" i="2"/>
  <c r="AH46" i="2"/>
  <c r="AG46" i="2"/>
  <c r="AF46" i="2"/>
  <c r="AE46" i="2"/>
  <c r="AD46" i="2"/>
  <c r="AB19" i="2"/>
  <c r="AB14" i="2"/>
  <c r="AB11" i="2"/>
  <c r="AA19" i="2"/>
  <c r="AA14" i="2"/>
  <c r="AA11" i="2"/>
  <c r="Z19" i="2"/>
  <c r="Z14" i="2"/>
  <c r="Z11" i="2"/>
  <c r="AB1" i="2"/>
  <c r="AC1" i="2" s="1"/>
  <c r="AD1" i="2" s="1"/>
  <c r="AE1" i="2" s="1"/>
  <c r="AF1" i="2" s="1"/>
  <c r="AG1" i="2" s="1"/>
  <c r="AH1" i="2" s="1"/>
  <c r="AI1" i="2" s="1"/>
  <c r="N19" i="2"/>
  <c r="M19" i="2"/>
  <c r="L19" i="2"/>
  <c r="J19" i="2"/>
  <c r="I19" i="2"/>
  <c r="H19" i="2"/>
  <c r="G19" i="2"/>
  <c r="F19" i="2"/>
  <c r="E19" i="2"/>
  <c r="D19" i="2"/>
  <c r="C19" i="2"/>
  <c r="K19" i="2"/>
  <c r="N14" i="2"/>
  <c r="M14" i="2"/>
  <c r="L14" i="2"/>
  <c r="J14" i="2"/>
  <c r="I14" i="2"/>
  <c r="H14" i="2"/>
  <c r="G14" i="2"/>
  <c r="F14" i="2"/>
  <c r="E14" i="2"/>
  <c r="D14" i="2"/>
  <c r="C14" i="2"/>
  <c r="K14" i="2"/>
  <c r="J11" i="2"/>
  <c r="I11" i="2"/>
  <c r="H11" i="2"/>
  <c r="G11" i="2"/>
  <c r="F11" i="2"/>
  <c r="E11" i="2"/>
  <c r="D11" i="2"/>
  <c r="C11" i="2"/>
  <c r="N11" i="2"/>
  <c r="M11" i="2"/>
  <c r="L11" i="2"/>
  <c r="K11" i="2"/>
  <c r="X20" i="2" l="1"/>
  <c r="X40" i="2" s="1"/>
  <c r="Y20" i="2"/>
  <c r="Y40" i="2" s="1"/>
  <c r="AB82" i="2"/>
  <c r="AB84" i="2"/>
  <c r="AB83" i="2"/>
  <c r="AA84" i="2"/>
  <c r="AA83" i="2"/>
  <c r="AA82" i="2"/>
  <c r="AC48" i="2"/>
  <c r="Z82" i="2"/>
  <c r="Z83" i="2"/>
  <c r="Z84" i="2"/>
  <c r="AD32" i="2"/>
  <c r="K37" i="2"/>
  <c r="AM6" i="2"/>
  <c r="AD33" i="2"/>
  <c r="AE33" i="2"/>
  <c r="AF33" i="2"/>
  <c r="AG33" i="2"/>
  <c r="AH33" i="2"/>
  <c r="AD8" i="2"/>
  <c r="AC11" i="2"/>
  <c r="AD11" i="2"/>
  <c r="AE9" i="2"/>
  <c r="I37" i="2"/>
  <c r="AB48" i="2"/>
  <c r="L46" i="2"/>
  <c r="AA48" i="2"/>
  <c r="L75" i="2"/>
  <c r="H75" i="2"/>
  <c r="G37" i="2"/>
  <c r="H37" i="2"/>
  <c r="J37" i="2"/>
  <c r="I46" i="2"/>
  <c r="G15" i="2"/>
  <c r="G20" i="2" s="1"/>
  <c r="G23" i="2" s="1"/>
  <c r="G25" i="2" s="1"/>
  <c r="G27" i="2" s="1"/>
  <c r="E46" i="2"/>
  <c r="M15" i="2"/>
  <c r="M20" i="2" s="1"/>
  <c r="M23" i="2" s="1"/>
  <c r="M25" i="2" s="1"/>
  <c r="M27" i="2" s="1"/>
  <c r="H46" i="2"/>
  <c r="N15" i="2"/>
  <c r="N20" i="2" s="1"/>
  <c r="N23" i="2" s="1"/>
  <c r="N25" i="2" s="1"/>
  <c r="N27" i="2" s="1"/>
  <c r="D46" i="2"/>
  <c r="I15" i="2"/>
  <c r="E15" i="2"/>
  <c r="AB37" i="2"/>
  <c r="J15" i="2"/>
  <c r="C15" i="2"/>
  <c r="D15" i="2"/>
  <c r="D20" i="2" s="1"/>
  <c r="AA37" i="2"/>
  <c r="L37" i="2"/>
  <c r="L15" i="2"/>
  <c r="K15" i="2"/>
  <c r="H15" i="2"/>
  <c r="Z15" i="2"/>
  <c r="AA15" i="2"/>
  <c r="AB15" i="2"/>
  <c r="F15" i="2"/>
  <c r="AD16" i="2" l="1"/>
  <c r="AD82" i="2" s="1"/>
  <c r="AD18" i="2"/>
  <c r="AD84" i="2" s="1"/>
  <c r="AD17" i="2"/>
  <c r="AD83" i="2" s="1"/>
  <c r="AC36" i="2"/>
  <c r="AC84" i="2"/>
  <c r="AC82" i="2"/>
  <c r="AC83" i="2"/>
  <c r="AC37" i="2"/>
  <c r="AC35" i="2"/>
  <c r="AC34" i="2"/>
  <c r="AD34" i="2"/>
  <c r="AD36" i="2"/>
  <c r="AD35" i="2"/>
  <c r="AD13" i="2"/>
  <c r="AD12" i="2"/>
  <c r="AD37" i="2"/>
  <c r="AE32" i="2"/>
  <c r="AE8" i="2"/>
  <c r="AE11" i="2" s="1"/>
  <c r="AF9" i="2"/>
  <c r="L47" i="2"/>
  <c r="G40" i="2"/>
  <c r="H47" i="2"/>
  <c r="G47" i="2"/>
  <c r="K47" i="2"/>
  <c r="F47" i="2"/>
  <c r="J47" i="2"/>
  <c r="G39" i="2"/>
  <c r="I47" i="2"/>
  <c r="I20" i="2"/>
  <c r="I40" i="2" s="1"/>
  <c r="I39" i="2"/>
  <c r="E20" i="2"/>
  <c r="E40" i="2" s="1"/>
  <c r="E39" i="2"/>
  <c r="J20" i="2"/>
  <c r="J40" i="2" s="1"/>
  <c r="J39" i="2"/>
  <c r="C20" i="2"/>
  <c r="C23" i="2" s="1"/>
  <c r="C25" i="2" s="1"/>
  <c r="L20" i="2"/>
  <c r="L39" i="2"/>
  <c r="G41" i="2"/>
  <c r="K39" i="2"/>
  <c r="K20" i="2"/>
  <c r="AA20" i="2"/>
  <c r="AA39" i="2"/>
  <c r="D23" i="2"/>
  <c r="D25" i="2" s="1"/>
  <c r="AB20" i="2"/>
  <c r="AB39" i="2"/>
  <c r="Z20" i="2"/>
  <c r="Z39" i="2"/>
  <c r="H39" i="2"/>
  <c r="H20" i="2"/>
  <c r="F20" i="2"/>
  <c r="F39" i="2"/>
  <c r="AE17" i="2" l="1"/>
  <c r="AE83" i="2" s="1"/>
  <c r="AE18" i="2"/>
  <c r="AE84" i="2" s="1"/>
  <c r="AE16" i="2"/>
  <c r="AE82" i="2" s="1"/>
  <c r="K48" i="2"/>
  <c r="AD19" i="2"/>
  <c r="AC14" i="2"/>
  <c r="AC15" i="2" s="1"/>
  <c r="AC39" i="2" s="1"/>
  <c r="AC19" i="2"/>
  <c r="AD14" i="2"/>
  <c r="AD15" i="2" s="1"/>
  <c r="AD39" i="2" s="1"/>
  <c r="AE34" i="2"/>
  <c r="AE35" i="2"/>
  <c r="AE13" i="2"/>
  <c r="AE12" i="2"/>
  <c r="AE36" i="2"/>
  <c r="AF32" i="2"/>
  <c r="AF8" i="2"/>
  <c r="AF11" i="2" s="1"/>
  <c r="AE37" i="2"/>
  <c r="AG9" i="2"/>
  <c r="E23" i="2"/>
  <c r="E25" i="2" s="1"/>
  <c r="E41" i="2" s="1"/>
  <c r="L48" i="2"/>
  <c r="J23" i="2"/>
  <c r="J25" i="2" s="1"/>
  <c r="J41" i="2" s="1"/>
  <c r="J48" i="2"/>
  <c r="I23" i="2"/>
  <c r="I25" i="2" s="1"/>
  <c r="I41" i="2" s="1"/>
  <c r="L23" i="2"/>
  <c r="L25" i="2" s="1"/>
  <c r="L40" i="2"/>
  <c r="AB23" i="2"/>
  <c r="AB25" i="2" s="1"/>
  <c r="AB40" i="2"/>
  <c r="K23" i="2"/>
  <c r="K25" i="2" s="1"/>
  <c r="K40" i="2"/>
  <c r="Z23" i="2"/>
  <c r="Z25" i="2" s="1"/>
  <c r="Z40" i="2"/>
  <c r="H23" i="2"/>
  <c r="H25" i="2" s="1"/>
  <c r="H40" i="2"/>
  <c r="D27" i="2"/>
  <c r="C27" i="2"/>
  <c r="AA23" i="2"/>
  <c r="AA25" i="2" s="1"/>
  <c r="AA40" i="2"/>
  <c r="F23" i="2"/>
  <c r="F25" i="2" s="1"/>
  <c r="F40" i="2"/>
  <c r="AF17" i="2" l="1"/>
  <c r="AF83" i="2" s="1"/>
  <c r="AF18" i="2"/>
  <c r="AF84" i="2" s="1"/>
  <c r="AF16" i="2"/>
  <c r="AF82" i="2" s="1"/>
  <c r="AC20" i="2"/>
  <c r="AC23" i="2" s="1"/>
  <c r="AC25" i="2" s="1"/>
  <c r="AD20" i="2"/>
  <c r="AD40" i="2" s="1"/>
  <c r="AE14" i="2"/>
  <c r="AE15" i="2" s="1"/>
  <c r="AE39" i="2" s="1"/>
  <c r="AC40" i="2"/>
  <c r="AF34" i="2"/>
  <c r="AF36" i="2"/>
  <c r="AF35" i="2"/>
  <c r="AF13" i="2"/>
  <c r="AF12" i="2"/>
  <c r="AG8" i="2"/>
  <c r="AG11" i="2" s="1"/>
  <c r="AG32" i="2"/>
  <c r="AF37" i="2"/>
  <c r="AH9" i="2"/>
  <c r="AE19" i="2"/>
  <c r="E27" i="2"/>
  <c r="J27" i="2"/>
  <c r="I27" i="2"/>
  <c r="L27" i="2"/>
  <c r="L41" i="2"/>
  <c r="H41" i="2"/>
  <c r="H27" i="2"/>
  <c r="AA27" i="2"/>
  <c r="AA41" i="2"/>
  <c r="K41" i="2"/>
  <c r="K27" i="2"/>
  <c r="Z27" i="2"/>
  <c r="Z41" i="2"/>
  <c r="AB27" i="2"/>
  <c r="AB41" i="2"/>
  <c r="F41" i="2"/>
  <c r="F27" i="2"/>
  <c r="AG16" i="2" l="1"/>
  <c r="AG82" i="2" s="1"/>
  <c r="AG18" i="2"/>
  <c r="AG84" i="2" s="1"/>
  <c r="AG17" i="2"/>
  <c r="AG83" i="2" s="1"/>
  <c r="AF14" i="2"/>
  <c r="AF15" i="2" s="1"/>
  <c r="AE20" i="2"/>
  <c r="AE40" i="2" s="1"/>
  <c r="AC41" i="2"/>
  <c r="AC27" i="2"/>
  <c r="AD21" i="2"/>
  <c r="AD23" i="2" s="1"/>
  <c r="AD24" i="2" s="1"/>
  <c r="AD25" i="2" s="1"/>
  <c r="AD27" i="2" s="1"/>
  <c r="AG36" i="2"/>
  <c r="AG35" i="2"/>
  <c r="AG12" i="2"/>
  <c r="AG13" i="2"/>
  <c r="AH32" i="2"/>
  <c r="AH8" i="2"/>
  <c r="AH11" i="2" s="1"/>
  <c r="AF39" i="2"/>
  <c r="AG37" i="2"/>
  <c r="AI9" i="2"/>
  <c r="AF19" i="2"/>
  <c r="AH18" i="2" l="1"/>
  <c r="AH84" i="2" s="1"/>
  <c r="AH16" i="2"/>
  <c r="AH82" i="2" s="1"/>
  <c r="AG34" i="2"/>
  <c r="AH17" i="2"/>
  <c r="AH83" i="2" s="1"/>
  <c r="AF20" i="2"/>
  <c r="AD50" i="2"/>
  <c r="AE21" i="2" s="1"/>
  <c r="AE23" i="2" s="1"/>
  <c r="AE24" i="2" s="1"/>
  <c r="AE25" i="2" s="1"/>
  <c r="AD41" i="2"/>
  <c r="AH36" i="2"/>
  <c r="AH35" i="2"/>
  <c r="AH34" i="2"/>
  <c r="AH12" i="2"/>
  <c r="AH13" i="2"/>
  <c r="AG14" i="2"/>
  <c r="AG15" i="2" s="1"/>
  <c r="AG39" i="2" s="1"/>
  <c r="AI8" i="2"/>
  <c r="AI11" i="2" s="1"/>
  <c r="AI32" i="2"/>
  <c r="AF40" i="2"/>
  <c r="AG19" i="2"/>
  <c r="AH37" i="2"/>
  <c r="AI18" i="2" l="1"/>
  <c r="AI84" i="2" s="1"/>
  <c r="AI16" i="2"/>
  <c r="AI82" i="2" s="1"/>
  <c r="AI17" i="2"/>
  <c r="AI83" i="2" s="1"/>
  <c r="AI36" i="2"/>
  <c r="AI35" i="2"/>
  <c r="AE50" i="2"/>
  <c r="AF21" i="2" s="1"/>
  <c r="AF23" i="2" s="1"/>
  <c r="AE41" i="2"/>
  <c r="AE27" i="2"/>
  <c r="AI12" i="2"/>
  <c r="AI13" i="2"/>
  <c r="AH14" i="2"/>
  <c r="AH15" i="2" s="1"/>
  <c r="AH39" i="2" s="1"/>
  <c r="AG20" i="2"/>
  <c r="AI37" i="2"/>
  <c r="AH19" i="2"/>
  <c r="AI34" i="2" l="1"/>
  <c r="AH20" i="2"/>
  <c r="AH40" i="2" s="1"/>
  <c r="AI14" i="2"/>
  <c r="AI15" i="2" s="1"/>
  <c r="AI39" i="2" s="1"/>
  <c r="AF24" i="2"/>
  <c r="AF25" i="2" s="1"/>
  <c r="AG40" i="2"/>
  <c r="AI19" i="2"/>
  <c r="AI20" i="2" l="1"/>
  <c r="AI40" i="2" s="1"/>
  <c r="AF50" i="2"/>
  <c r="AG21" i="2" s="1"/>
  <c r="AG23" i="2" s="1"/>
  <c r="AF27" i="2"/>
  <c r="AF41" i="2"/>
  <c r="AG24" i="2" l="1"/>
  <c r="AG25" i="2" s="1"/>
  <c r="AG50" i="2" l="1"/>
  <c r="AH21" i="2" s="1"/>
  <c r="AH23" i="2" s="1"/>
  <c r="AG41" i="2"/>
  <c r="AG27" i="2"/>
  <c r="AH24" i="2" l="1"/>
  <c r="AH25" i="2" s="1"/>
  <c r="AH50" i="2" l="1"/>
  <c r="AH41" i="2"/>
  <c r="AH27" i="2"/>
  <c r="AI21" i="2" l="1"/>
  <c r="AI23" i="2" s="1"/>
  <c r="AI24" i="2" l="1"/>
  <c r="AI25" i="2" s="1"/>
  <c r="AI41" i="2" l="1"/>
  <c r="AI27" i="2"/>
  <c r="AI50" i="2"/>
  <c r="AJ21" i="2" s="1"/>
  <c r="AJ23" i="2" s="1"/>
  <c r="AJ24" i="2" l="1"/>
  <c r="AJ25" i="2" s="1"/>
  <c r="AL25" i="2" s="1"/>
  <c r="AM25" i="2" s="1"/>
  <c r="AN25" i="2" s="1"/>
  <c r="AO25" i="2" s="1"/>
  <c r="AP25" i="2" s="1"/>
  <c r="AQ25" i="2" s="1"/>
  <c r="AR25" i="2" s="1"/>
  <c r="AS25" i="2" s="1"/>
  <c r="AT25" i="2" s="1"/>
  <c r="AU25" i="2" s="1"/>
  <c r="AV25" i="2" s="1"/>
  <c r="AW25" i="2" s="1"/>
  <c r="AX25" i="2" s="1"/>
  <c r="AY25" i="2" s="1"/>
  <c r="AZ25" i="2" s="1"/>
  <c r="BA25" i="2" s="1"/>
  <c r="BB25" i="2" s="1"/>
  <c r="BC25" i="2" s="1"/>
  <c r="BD25" i="2" s="1"/>
  <c r="BE25" i="2" s="1"/>
  <c r="BF25" i="2" s="1"/>
  <c r="BG25" i="2" s="1"/>
  <c r="BH25" i="2" s="1"/>
  <c r="BI25" i="2" s="1"/>
  <c r="BJ25" i="2" s="1"/>
  <c r="BK25" i="2" s="1"/>
  <c r="BL25" i="2" s="1"/>
  <c r="BM25" i="2" s="1"/>
  <c r="BN25" i="2" s="1"/>
  <c r="BO25" i="2" s="1"/>
  <c r="BP25" i="2" s="1"/>
  <c r="BQ25" i="2" s="1"/>
  <c r="BR25" i="2" s="1"/>
  <c r="BS25" i="2" s="1"/>
  <c r="BT25" i="2" s="1"/>
  <c r="BU25" i="2" s="1"/>
  <c r="BV25" i="2" s="1"/>
  <c r="BW25" i="2" s="1"/>
  <c r="BX25" i="2" s="1"/>
  <c r="BY25" i="2" s="1"/>
  <c r="AM5" i="2" s="1"/>
  <c r="AM7" i="2" s="1"/>
  <c r="AM8"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<sst xmlns="http://schemas.openxmlformats.org/spreadsheetml/2006/main" count="105" uniqueCount="90">
  <si>
    <t>ticket</t>
  </si>
  <si>
    <t>price</t>
  </si>
  <si>
    <t>shares</t>
  </si>
  <si>
    <t>mc</t>
  </si>
  <si>
    <t>cash</t>
  </si>
  <si>
    <t>debt</t>
  </si>
  <si>
    <t>ev</t>
  </si>
  <si>
    <t>Subscription</t>
  </si>
  <si>
    <t>Services and others</t>
  </si>
  <si>
    <t>Q1 2024</t>
  </si>
  <si>
    <t>Q1 2022</t>
  </si>
  <si>
    <t>Q2 2022</t>
  </si>
  <si>
    <t>Q3 2022</t>
  </si>
  <si>
    <t>Q4 2022</t>
  </si>
  <si>
    <t>Q1 2023</t>
  </si>
  <si>
    <t>Q2 2023</t>
  </si>
  <si>
    <t>Q3 2023</t>
  </si>
  <si>
    <t>Q4 2023</t>
  </si>
  <si>
    <t>Q2 2024</t>
  </si>
  <si>
    <t>Q3 2024</t>
  </si>
  <si>
    <t>Q4 2024</t>
  </si>
  <si>
    <t>Cost of subs</t>
  </si>
  <si>
    <t>Cost of services</t>
  </si>
  <si>
    <t>Total Costs</t>
  </si>
  <si>
    <t>Gross Profit</t>
  </si>
  <si>
    <t>S&amp;M</t>
  </si>
  <si>
    <t>R&amp;D</t>
  </si>
  <si>
    <t>G&amp;A</t>
  </si>
  <si>
    <t>Total Opex</t>
  </si>
  <si>
    <t>Operating Income</t>
  </si>
  <si>
    <t>Interest Income</t>
  </si>
  <si>
    <t>Other Expenses</t>
  </si>
  <si>
    <t>Pretax Income</t>
  </si>
  <si>
    <t>Taxes</t>
  </si>
  <si>
    <t>Net Income</t>
  </si>
  <si>
    <t>Shares</t>
  </si>
  <si>
    <t>EPS</t>
  </si>
  <si>
    <t>Revenue Y/Y</t>
  </si>
  <si>
    <t>Gross Margin</t>
  </si>
  <si>
    <t>Net Margin</t>
  </si>
  <si>
    <t>Operating Margin</t>
  </si>
  <si>
    <t>CFFO</t>
  </si>
  <si>
    <t>CAPEX</t>
  </si>
  <si>
    <t>SBC</t>
  </si>
  <si>
    <t>FCF</t>
  </si>
  <si>
    <t>main</t>
  </si>
  <si>
    <t>Net Cash</t>
  </si>
  <si>
    <t xml:space="preserve">cash </t>
  </si>
  <si>
    <t>ST investments</t>
  </si>
  <si>
    <t>AR</t>
  </si>
  <si>
    <t>Deferred comissions</t>
  </si>
  <si>
    <t>Prepaid expenses</t>
  </si>
  <si>
    <t>Deferred comissions NC</t>
  </si>
  <si>
    <t>LT investments</t>
  </si>
  <si>
    <t>PPE</t>
  </si>
  <si>
    <t>Operating assets</t>
  </si>
  <si>
    <t>Intangibles</t>
  </si>
  <si>
    <t>Goodwill</t>
  </si>
  <si>
    <t>Deferred taxes</t>
  </si>
  <si>
    <t>Other Assets</t>
  </si>
  <si>
    <t>Total Assets</t>
  </si>
  <si>
    <t>AP</t>
  </si>
  <si>
    <t>Accrued expenses</t>
  </si>
  <si>
    <t>Deferred revenue</t>
  </si>
  <si>
    <t>Operating liabilities</t>
  </si>
  <si>
    <t>LT Debt</t>
  </si>
  <si>
    <t>Other liabilities</t>
  </si>
  <si>
    <t>Total Liabilities</t>
  </si>
  <si>
    <t>S/E</t>
  </si>
  <si>
    <t>Deferred revenue NC</t>
  </si>
  <si>
    <t>Operating liabilities NC</t>
  </si>
  <si>
    <t>TTM FCF</t>
  </si>
  <si>
    <t>YoY</t>
  </si>
  <si>
    <t>Revenue</t>
  </si>
  <si>
    <t>NA</t>
  </si>
  <si>
    <t>EMEA</t>
  </si>
  <si>
    <t>AP and Other</t>
  </si>
  <si>
    <t>Digital workflow products</t>
  </si>
  <si>
    <t>ITOM products</t>
  </si>
  <si>
    <t>$1M+ ARR</t>
  </si>
  <si>
    <t>Renewal Rate</t>
  </si>
  <si>
    <t>Discount</t>
  </si>
  <si>
    <t>Maturity</t>
  </si>
  <si>
    <t>ROIC</t>
  </si>
  <si>
    <t xml:space="preserve">NPV </t>
  </si>
  <si>
    <t>Mkt value</t>
  </si>
  <si>
    <t>Price</t>
  </si>
  <si>
    <t/>
  </si>
  <si>
    <t>% sales</t>
  </si>
  <si>
    <t>EV/FCF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</si>
</sst>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09]* #,##0.00_ ;_-[$$-409]* \-#,##0.00\ ;_-[$$-409]* &quot;-&quot;??_ ;_-@_ "/>
    <numFmt numFmtId="165" formatCode="0.0%"/>
    <numFmt numFmtId="166" formatCode="_-[$$-409]* #,##0_ ;_-[$$-409]* \-#,##0\ ;_-[$$-409]* &quot;-&quot;??_ ;_-@_ "/>
    <numFmt numFmtId="167" formatCode="[$$-409]#,##0"/>
    <numFmt numFmtId="168" formatCode="_([$$-409]* #,##0.00_);_([$$-409]* \(#,##0.00\);_([$$-409]* &quot;-&quot;??_);_(@_)"/>
    <numFmt numFmtId="169" formatCode="0.0\x"/>
  </numFmts>
  <fonts count="7" x14ac:knownFonts="1">
    <font>
      <sz val="11"/>
      <color theme="1"/>
      <name val="Aptos Narrow"/>
      <family val="2"/>
      <scheme val="minor"/>
    </font>
    <font>
      <sz val="10"/>
      <color theme="1"/>
      <name val="Arial"/>
      <family val="2"/>
    </font>
    <font>
      <b/>
      <sz val="10"/>
      <color theme="1"/>
      <name val="Arial"/>
      <family val="2"/>
    </font>
    <font>
      <u/>
      <sz val="11"/>
      <color theme="10"/>
      <name val="Aptos Narrow"/>
      <family val="2"/>
      <scheme val="minor"/>
    </font>
    <font>
      <i/>
      <sz val="10"/>
      <color theme="1"/>
      <name val="Arial"/>
      <family val="2"/>
    </font>
    <font>
      <sz val="10"/>
      <name val="Arial"/>
      <family val="2"/>
    </font>
    <font>
      <b/>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xf numFmtId="164" fontId="1" fillId="0" borderId="0" xfId="0" applyNumberFormat="1" applyFont="1"/>
    <xf numFmtId="9" fontId="1" fillId="0" borderId="0" xfId="0" applyNumberFormat="1" applyFont="1"/>
    <xf numFmtId="3" fontId="1" fillId="0" borderId="0" xfId="0" applyNumberFormat="1" applyFont="1"/>
    <xf numFmtId="3" fontId="2" fillId="0" borderId="0" xfId="0" applyNumberFormat="1" applyFont="1"/>
    <xf numFmtId="0" fontId="1" fillId="0" borderId="0" xfId="0" applyFont="1" applyAlignment="1">
      <alignment horizontal="right"/>
    </xf>
    <xf numFmtId="0" fontId="1" fillId="0" borderId="0" xfId="0" applyFont="1" applyAlignment="1">
      <alignment wrapText="1"/>
    </xf>
    <xf numFmtId="0" fontId="3" fillId="0" borderId="0" xfId="1"/>
    <xf numFmtId="165" fontId="1" fillId="0" borderId="0" xfId="0" applyNumberFormat="1" applyFont="1"/>
    <xf numFmtId="0" fontId="4" fillId="0" borderId="0" xfId="0" applyFont="1"/>
    <xf numFmtId="165" fontId="2" fillId="0" borderId="0" xfId="0" applyNumberFormat="1" applyFont="1"/>
    <xf numFmtId="166" fontId="1" fillId="0" borderId="0" xfId="0" applyNumberFormat="1" applyFont="1"/>
    <xf numFmtId="167" fontId="1" fillId="0" borderId="0" xfId="0" applyNumberFormat="1" applyFont="1"/>
    <xf numFmtId="0" fontId="1" fillId="0" borderId="0" xfId="0" applyFont="1" applyAlignment="1">
      <alignment horizontal="left"/>
    </xf>
    <xf numFmtId="3" fontId="1" fillId="0" borderId="0" xfId="0" applyNumberFormat="1" applyFont="1" applyAlignment="1">
      <alignment horizontal="right"/>
    </xf>
    <xf numFmtId="9" fontId="2" fillId="0" borderId="0" xfId="0" applyNumberFormat="1" applyFont="1"/>
    <xf numFmtId="3" fontId="6" fillId="0" borderId="0" xfId="0" applyNumberFormat="1" applyFont="1"/>
    <xf numFmtId="3" fontId="5" fillId="0" borderId="0" xfId="0" applyNumberFormat="1" applyFont="1"/>
    <xf numFmtId="168" fontId="1" fillId="0" borderId="0" xfId="0" applyNumberFormat="1" applyFont="1" applyAlignment="1">
      <alignment horizontal="right"/>
    </xf>
    <xf numFmtId="0" fontId="5" fillId="0" borderId="0" xfId="0" applyFont="1"/>
    <xf numFmtId="169"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alcChain" Target="calcChain.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5" Type="http://schemas.openxmlformats.org/officeDocument/2006/relationships/sharedStrings" Target="sharedStrings.xml"/><Relationship Id="rId10" Type="http://schemas.microsoft.com/office/2017/06/relationships/rdSupportingPropertyBagStructure" Target="richData/rdsupportingpropertybagstructure.xml"/><Relationship Id="rId4" Type="http://schemas.openxmlformats.org/officeDocument/2006/relationships/styles" Target="styles.xml"/><Relationship Id="rId9" Type="http://schemas.microsoft.com/office/2017/06/relationships/richStyles" Target="richData/richStyles.xml"/></Relationships>
</file>

<file path=xl/drawings/drawing1.xml><?xml version="1.0" encoding="utf-8"?>
<xdr:wsDr xmlns:xdr="http://schemas.openxmlformats.org/drawingml/2006/spreadsheetDrawing" xmlns:a="http://schemas.openxmlformats.org/drawingml/2006/main">
  <xdr:twoCellAnchor>
    <xdr:from>
      <xdr:col>28</xdr:col>
      <xdr:colOff>600075</xdr:colOff>
      <xdr:row>0</xdr:row>
      <xdr:rowOff>0</xdr:rowOff>
    </xdr:from>
    <xdr:to>
      <xdr:col>29</xdr:col>
      <xdr:colOff>28575</xdr:colOff>
      <xdr:row>95</xdr:row>
      <xdr:rowOff>161925</xdr:rowOff>
    </xdr:to>
    <xdr:cxnSp macro="">
      <xdr:nvCxnSpPr>
        <xdr:cNvPr id="3" name="Straight Connector 2">
          <a:extLst>
            <a:ext uri="{FF2B5EF4-FFF2-40B4-BE49-F238E27FC236}">
              <a16:creationId xmlns:a16="http://schemas.microsoft.com/office/drawing/2014/main" id="{593B887E-33BA-9DF4-4052-055CE5E1FEC7}"/>
            </a:ext>
          </a:extLst>
        </xdr:cNvPr>
        <xdr:cNvCxnSpPr/>
      </xdr:nvCxnSpPr>
      <xdr:spPr>
        <a:xfrm>
          <a:off x="18259425" y="0"/>
          <a:ext cx="38100" cy="165163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https://www.bing.com/financeapi/forcetrigger?t=a1yoa2&amp;q=XNYS%3aNOW&amp;form=skydnc</v>
    <v>Learn more on Bing</v>
  </rv>
  <rv s="1">
    <v>en-US</v>
    <v>a1yoa2</v>
    <v>268435456</v>
    <v>1</v>
    <v>Powered by Refinitiv</v>
    <v>0</v>
    <v>SERVICENOW, INC. (XNYS:NOW)</v>
    <v>2</v>
    <v>3</v>
    <v>Finance</v>
    <v>4</v>
    <v>1198.0899999999999</v>
    <v>637.99</v>
    <v>0.98280000000000001</v>
    <v>-19.489999999999998</v>
    <v>-2.4875999999999999E-2</v>
    <v>USD</v>
    <v>ServiceNow, Inc. provides an artificial intelligence (AI) platform for business transformation. The Company’s AI platform connects people, processes, data, and devices to increase productivity and maximize business outcomes. Its intelligent platform, the Now Platform, is a cloud-based solution that helps enterprises and organizations across public and private sectors digitize workflows. The workflow applications built on the Now Platform are organized in four primary areas: technology, customer and industry, employee and creator. Its technology workflows empower information technology (IT) departments to plan, build, operate and service the IT needs of the business enterprise. Its customer and industry workflows help organizations reimagine their customer experience. Its employee workflows help customers simplify how their employees access services they need. Its creator workflows enable customers to automate processes by creating their own custom workflows on the Now Platform.</v>
    <v>26293</v>
    <v>New York Stock Exchange</v>
    <v>XNYS</v>
    <v>XNYS</v>
    <v>2225 Lawson Lane, SANTA CLARA, CA, 95054 US</v>
    <v>775</v>
    <v>Software &amp; IT Services</v>
    <v>Stock</v>
    <v>45758.649955543748</v>
    <v>0</v>
    <v>755</v>
    <v>158149757200</v>
    <v>SERVICENOW, INC.</v>
    <v>SERVICENOW, INC.</v>
    <v>775</v>
    <v>111.4143</v>
    <v>783.49</v>
    <v>764</v>
    <v>207002300</v>
    <v>NOW</v>
    <v>SERVICENOW, INC. (XNYS:NOW)</v>
    <v>744539</v>
    <v>2223402</v>
    <v>2012</v>
  </rv>
  <rv s="2">
    <v>1</v>
  </rv>
</rvData>
</file>

<file path=xl/richData/rdrichvaluestructure.xml><?xml version="1.0" encoding="utf-8"?>
<rvStructures xmlns="http://schemas.microsoft.com/office/spreadsheetml/2017/richdata" count="3">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2">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spb>
    <spb s="4">
      <v>Real-Time Nasdaq Last Sale</v>
      <v>from previous close</v>
      <v>from previous close</v>
      <v>Source: Nasdaq Last Sale</v>
      <v>GMT</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s>
  <s>
    <k n="Price" t="s"/>
    <k n="Change" t="s"/>
    <k n="Change (%)" t="s"/>
    <k n="ExchangeID"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3111-E2FE-4543-8121-017DDF776FE3}">
  <dimension ref="A2:K9"/>
  <sheetViews>
    <sheetView topLeftCell="C1" zoomScale="90" zoomScaleNormal="90" workbookViewId="0">
      <selection activeCell="J8" sqref="J8"/>
    </sheetView>
  </sheetViews>
  <sheetFormatPr defaultColWidth="8.88671875" defaultRowHeight="13.2" x14ac:dyDescent="0.25"/>
  <cols>
    <col min="1" max="1" width="6.44140625" style="1" bestFit="1" customWidth="1"/>
    <col min="2" max="9" width="8.88671875" style="1"/>
    <col min="10" max="10" width="10.109375" style="1" customWidth="1"/>
    <col min="11" max="16384" width="8.88671875" style="1"/>
  </cols>
  <sheetData>
    <row r="2" spans="1:11" x14ac:dyDescent="0.25">
      <c r="I2" s="15" t="s">
        <v>0</v>
      </c>
      <c r="J2" s="7" t="e" vm="1">
        <v>#VALUE!</v>
      </c>
    </row>
    <row r="3" spans="1:11" x14ac:dyDescent="0.25">
      <c r="I3" s="15" t="s">
        <v>1</v>
      </c>
      <c r="J3" s="20">
        <v>740</v>
      </c>
    </row>
    <row r="4" spans="1:11" x14ac:dyDescent="0.25">
      <c r="I4" s="15" t="s">
        <v>2</v>
      </c>
      <c r="J4" s="7">
        <v>206</v>
      </c>
    </row>
    <row r="5" spans="1:11" x14ac:dyDescent="0.25">
      <c r="I5" s="15" t="s">
        <v>3</v>
      </c>
      <c r="J5" s="16">
        <f>+J3*J4</f>
        <v>152440</v>
      </c>
    </row>
    <row r="6" spans="1:11" x14ac:dyDescent="0.25">
      <c r="I6" s="15" t="s">
        <v>4</v>
      </c>
      <c r="J6" s="16">
        <f>2304+3458+4111</f>
        <v>9873</v>
      </c>
      <c r="K6" s="1" t="s">
        <v>20</v>
      </c>
    </row>
    <row r="7" spans="1:11" x14ac:dyDescent="0.25">
      <c r="I7" s="15" t="s">
        <v>5</v>
      </c>
      <c r="J7" s="16">
        <v>1489</v>
      </c>
      <c r="K7" s="1" t="s">
        <v>20</v>
      </c>
    </row>
    <row r="8" spans="1:11" x14ac:dyDescent="0.25">
      <c r="I8" s="15" t="s">
        <v>6</v>
      </c>
      <c r="J8" s="16">
        <f>+J5-J6+J7</f>
        <v>144056</v>
      </c>
    </row>
    <row r="9" spans="1:11" x14ac:dyDescent="0.25">
      <c r="A9"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AA2A-E56E-4872-A2FC-2B63594BF758}">
  <dimension ref="A1:BY84"/>
  <sheetViews>
    <sheetView tabSelected="1" zoomScale="80" zoomScaleNormal="80" workbookViewId="0">
      <pane xSplit="2" ySplit="1" topLeftCell="O2" activePane="bottomRight" state="frozen"/>
      <selection pane="topRight" activeCell="B1" sqref="B1"/>
      <selection pane="bottomLeft" activeCell="A2" sqref="A2"/>
      <selection pane="bottomRight" activeCell="Y1" sqref="Y1"/>
    </sheetView>
  </sheetViews>
  <sheetFormatPr defaultColWidth="8.88671875" defaultRowHeight="13.2" x14ac:dyDescent="0.25"/>
  <cols>
    <col min="1" max="1" width="5" style="1" bestFit="1" customWidth="1"/>
    <col min="2" max="2" width="21.33203125" style="1" bestFit="1" customWidth="1"/>
    <col min="3" max="37" width="8.88671875" style="1"/>
    <col min="38" max="38" width="11.5546875" style="1" bestFit="1" customWidth="1"/>
    <col min="39" max="39" width="12.33203125" style="1" bestFit="1" customWidth="1"/>
    <col min="40" max="16384" width="8.88671875" style="1"/>
  </cols>
  <sheetData>
    <row r="1" spans="1:39" ht="14.4" x14ac:dyDescent="0.3">
      <c r="A1" s="9" t="s">
        <v>45</v>
      </c>
      <c r="C1" s="2" t="s">
        <v>10</v>
      </c>
      <c r="D1" s="2" t="s">
        <v>11</v>
      </c>
      <c r="E1" s="2" t="s">
        <v>12</v>
      </c>
      <c r="F1" s="2" t="s">
        <v>13</v>
      </c>
      <c r="G1" s="2" t="s">
        <v>14</v>
      </c>
      <c r="H1" s="2" t="s">
        <v>15</v>
      </c>
      <c r="I1" s="2" t="s">
        <v>16</v>
      </c>
      <c r="J1" s="2" t="s">
        <v>17</v>
      </c>
      <c r="K1" s="2" t="s">
        <v>9</v>
      </c>
      <c r="L1" s="2" t="s">
        <v>18</v>
      </c>
      <c r="M1" s="2" t="s">
        <v>19</v>
      </c>
      <c r="N1" s="2" t="s">
        <v>20</v>
      </c>
      <c r="Q1" s="2">
        <f t="shared" ref="Q1:X1" si="0">+R1-1</f>
        <v>2012</v>
      </c>
      <c r="R1" s="2">
        <f t="shared" si="0"/>
        <v>2013</v>
      </c>
      <c r="S1" s="2">
        <f t="shared" si="0"/>
        <v>2014</v>
      </c>
      <c r="T1" s="2">
        <f t="shared" si="0"/>
        <v>2015</v>
      </c>
      <c r="U1" s="2">
        <f t="shared" si="0"/>
        <v>2016</v>
      </c>
      <c r="V1" s="2">
        <f t="shared" si="0"/>
        <v>2017</v>
      </c>
      <c r="W1" s="2">
        <f t="shared" si="0"/>
        <v>2018</v>
      </c>
      <c r="X1" s="2">
        <f t="shared" si="0"/>
        <v>2019</v>
      </c>
      <c r="Y1" s="2">
        <f>+Z1-1</f>
        <v>2020</v>
      </c>
      <c r="Z1" s="2">
        <v>2021</v>
      </c>
      <c r="AA1" s="2">
        <v>2022</v>
      </c>
      <c r="AB1" s="2">
        <f>+AA1+1</f>
        <v>2023</v>
      </c>
      <c r="AC1" s="2">
        <f t="shared" ref="AC1:AI1" si="1">+AB1+1</f>
        <v>2024</v>
      </c>
      <c r="AD1" s="2">
        <f t="shared" si="1"/>
        <v>2025</v>
      </c>
      <c r="AE1" s="2">
        <f t="shared" si="1"/>
        <v>2026</v>
      </c>
      <c r="AF1" s="2">
        <f t="shared" si="1"/>
        <v>2027</v>
      </c>
      <c r="AG1" s="2">
        <f t="shared" si="1"/>
        <v>2028</v>
      </c>
      <c r="AH1" s="2">
        <f t="shared" si="1"/>
        <v>2029</v>
      </c>
      <c r="AI1" s="2">
        <f t="shared" si="1"/>
        <v>2030</v>
      </c>
      <c r="AJ1" s="2">
        <f t="shared" ref="AJ1" si="2">+AI1+1</f>
        <v>2031</v>
      </c>
    </row>
    <row r="2" spans="1:39" ht="14.4" x14ac:dyDescent="0.3">
      <c r="A2" s="9"/>
      <c r="B2" s="1" t="s">
        <v>74</v>
      </c>
      <c r="C2" s="5"/>
      <c r="D2" s="5"/>
      <c r="E2" s="5">
        <v>1209</v>
      </c>
      <c r="F2" s="5"/>
      <c r="G2" s="5">
        <v>1344</v>
      </c>
      <c r="H2" s="5">
        <v>1369</v>
      </c>
      <c r="I2" s="5">
        <v>1452</v>
      </c>
      <c r="J2" s="5"/>
      <c r="K2" s="5">
        <v>1637</v>
      </c>
      <c r="L2" s="5">
        <v>1665</v>
      </c>
      <c r="M2" s="5"/>
      <c r="N2" s="5"/>
      <c r="Z2" s="5">
        <v>3752</v>
      </c>
      <c r="AA2" s="5">
        <v>4723</v>
      </c>
      <c r="AB2" s="5">
        <v>5702</v>
      </c>
      <c r="AC2" s="5">
        <v>6909</v>
      </c>
      <c r="AD2" s="5"/>
      <c r="AE2" s="5"/>
      <c r="AF2" s="5"/>
      <c r="AG2" s="5"/>
      <c r="AH2" s="5"/>
      <c r="AI2" s="5"/>
      <c r="AJ2" s="5"/>
      <c r="AL2" s="1" t="s">
        <v>81</v>
      </c>
      <c r="AM2" s="4">
        <v>0.1</v>
      </c>
    </row>
    <row r="3" spans="1:39" ht="14.4" x14ac:dyDescent="0.3">
      <c r="A3" s="9"/>
      <c r="B3" s="1" t="s">
        <v>75</v>
      </c>
      <c r="C3" s="5"/>
      <c r="D3" s="5"/>
      <c r="E3" s="5">
        <v>432</v>
      </c>
      <c r="F3" s="5"/>
      <c r="G3" s="5">
        <v>532</v>
      </c>
      <c r="H3" s="5">
        <v>547</v>
      </c>
      <c r="I3" s="5">
        <v>585</v>
      </c>
      <c r="J3" s="5"/>
      <c r="K3" s="5">
        <v>676</v>
      </c>
      <c r="L3" s="5">
        <v>661</v>
      </c>
      <c r="M3" s="5"/>
      <c r="N3" s="5"/>
      <c r="Z3" s="5">
        <v>1551</v>
      </c>
      <c r="AA3" s="5">
        <v>1778</v>
      </c>
      <c r="AB3" s="5">
        <v>2298</v>
      </c>
      <c r="AC3" s="5">
        <v>2834</v>
      </c>
      <c r="AD3" s="5"/>
      <c r="AE3" s="5"/>
      <c r="AF3" s="5"/>
      <c r="AG3" s="5"/>
      <c r="AH3" s="5"/>
      <c r="AI3" s="5"/>
      <c r="AJ3" s="5"/>
      <c r="AL3" s="1" t="s">
        <v>82</v>
      </c>
      <c r="AM3" s="4">
        <v>0.05</v>
      </c>
    </row>
    <row r="4" spans="1:39" ht="14.4" x14ac:dyDescent="0.3">
      <c r="A4" s="9"/>
      <c r="B4" s="1" t="s">
        <v>76</v>
      </c>
      <c r="C4" s="5"/>
      <c r="D4" s="5"/>
      <c r="E4" s="5">
        <v>190</v>
      </c>
      <c r="F4" s="5"/>
      <c r="G4" s="5">
        <v>220</v>
      </c>
      <c r="H4" s="5">
        <v>234</v>
      </c>
      <c r="I4" s="5">
        <v>251</v>
      </c>
      <c r="J4" s="5"/>
      <c r="K4" s="5">
        <v>290</v>
      </c>
      <c r="L4" s="5">
        <v>301</v>
      </c>
      <c r="M4" s="5"/>
      <c r="N4" s="5"/>
      <c r="Z4" s="5">
        <v>593</v>
      </c>
      <c r="AA4" s="5">
        <v>744</v>
      </c>
      <c r="AB4" s="5">
        <v>971</v>
      </c>
      <c r="AC4" s="5">
        <v>1241</v>
      </c>
      <c r="AD4" s="5"/>
      <c r="AE4" s="5"/>
      <c r="AF4" s="5"/>
      <c r="AG4" s="5"/>
      <c r="AH4" s="5"/>
      <c r="AI4" s="5"/>
      <c r="AJ4" s="5"/>
      <c r="AL4" s="1" t="s">
        <v>83</v>
      </c>
      <c r="AM4" s="4">
        <v>0.15</v>
      </c>
    </row>
    <row r="5" spans="1:39" ht="14.4" x14ac:dyDescent="0.3">
      <c r="A5" s="9"/>
      <c r="C5" s="6"/>
      <c r="D5" s="6"/>
      <c r="E5" s="6"/>
      <c r="F5" s="6"/>
      <c r="G5" s="6"/>
      <c r="H5" s="6"/>
      <c r="I5" s="6"/>
      <c r="J5" s="6"/>
      <c r="K5" s="6"/>
      <c r="L5" s="6"/>
      <c r="M5" s="2"/>
      <c r="N5" s="2"/>
      <c r="Z5" s="2"/>
      <c r="AA5" s="2"/>
      <c r="AB5" s="2"/>
      <c r="AC5" s="2"/>
      <c r="AD5" s="2"/>
      <c r="AE5" s="2"/>
      <c r="AF5" s="2"/>
      <c r="AG5" s="2"/>
      <c r="AH5" s="2"/>
      <c r="AI5" s="2"/>
      <c r="AJ5" s="2"/>
      <c r="AL5" s="1" t="s">
        <v>84</v>
      </c>
      <c r="AM5" s="13">
        <f>+NPV(AM2,AC25:BY25)</f>
        <v>164297.77461254105</v>
      </c>
    </row>
    <row r="6" spans="1:39" ht="14.4" x14ac:dyDescent="0.3">
      <c r="A6" s="9"/>
      <c r="B6" s="1" t="s">
        <v>77</v>
      </c>
      <c r="C6" s="5"/>
      <c r="D6" s="5"/>
      <c r="E6" s="5">
        <v>1534</v>
      </c>
      <c r="F6" s="5"/>
      <c r="G6" s="5">
        <v>1790</v>
      </c>
      <c r="H6" s="5">
        <v>1836</v>
      </c>
      <c r="I6" s="5">
        <v>1961</v>
      </c>
      <c r="J6" s="5"/>
      <c r="K6" s="5">
        <v>2231</v>
      </c>
      <c r="L6" s="5">
        <v>2248</v>
      </c>
      <c r="Z6" s="5">
        <v>4882</v>
      </c>
      <c r="AA6" s="5">
        <v>6077</v>
      </c>
      <c r="AB6" s="5">
        <v>7679</v>
      </c>
      <c r="AC6" s="5">
        <v>9422</v>
      </c>
      <c r="AD6" s="5">
        <f>+AC6*1.23</f>
        <v>11589.06</v>
      </c>
      <c r="AE6" s="5">
        <f>+AD6*1.22</f>
        <v>14138.653199999999</v>
      </c>
      <c r="AF6" s="5">
        <f>+AE6*1.2</f>
        <v>16966.383839999999</v>
      </c>
      <c r="AG6" s="5">
        <f t="shared" ref="AG6:AI6" si="3">+AF6*1.2</f>
        <v>20359.660607999998</v>
      </c>
      <c r="AH6" s="5">
        <f t="shared" si="3"/>
        <v>24431.592729599997</v>
      </c>
      <c r="AI6" s="5">
        <f t="shared" si="3"/>
        <v>29317.911275519997</v>
      </c>
      <c r="AJ6" s="5">
        <f t="shared" ref="AJ6:AJ7" si="4">+AI6*1.2</f>
        <v>35181.493530623993</v>
      </c>
      <c r="AL6" s="1" t="s">
        <v>46</v>
      </c>
      <c r="AM6" s="13">
        <f>+L50</f>
        <v>7397</v>
      </c>
    </row>
    <row r="7" spans="1:39" ht="14.4" x14ac:dyDescent="0.3">
      <c r="A7" s="9"/>
      <c r="B7" s="1" t="s">
        <v>78</v>
      </c>
      <c r="C7" s="5"/>
      <c r="D7" s="5"/>
      <c r="E7" s="5">
        <v>208</v>
      </c>
      <c r="F7" s="5"/>
      <c r="G7" s="5">
        <v>234</v>
      </c>
      <c r="H7" s="5">
        <v>239</v>
      </c>
      <c r="I7" s="5">
        <v>255</v>
      </c>
      <c r="J7" s="5"/>
      <c r="K7" s="5">
        <v>292</v>
      </c>
      <c r="L7" s="5">
        <v>294</v>
      </c>
      <c r="Z7" s="5">
        <v>691</v>
      </c>
      <c r="AA7" s="5">
        <v>814</v>
      </c>
      <c r="AB7" s="5">
        <v>1001</v>
      </c>
      <c r="AC7" s="5">
        <v>1224</v>
      </c>
      <c r="AD7" s="5">
        <f>+AC7*1.2</f>
        <v>1468.8</v>
      </c>
      <c r="AE7" s="5">
        <f t="shared" ref="AE7:AI7" si="5">+AD7*1.2</f>
        <v>1762.56</v>
      </c>
      <c r="AF7" s="5">
        <f t="shared" si="5"/>
        <v>2115.0719999999997</v>
      </c>
      <c r="AG7" s="5">
        <f t="shared" si="5"/>
        <v>2538.0863999999997</v>
      </c>
      <c r="AH7" s="5">
        <f t="shared" si="5"/>
        <v>3045.7036799999996</v>
      </c>
      <c r="AI7" s="5">
        <f t="shared" si="5"/>
        <v>3654.8444159999995</v>
      </c>
      <c r="AJ7" s="5">
        <f t="shared" si="4"/>
        <v>4385.8132991999992</v>
      </c>
      <c r="AL7" s="1" t="s">
        <v>85</v>
      </c>
      <c r="AM7" s="13">
        <f>+AM5+AM6</f>
        <v>171694.77461254105</v>
      </c>
    </row>
    <row r="8" spans="1:39" x14ac:dyDescent="0.25">
      <c r="B8" s="1" t="s">
        <v>7</v>
      </c>
      <c r="C8" s="5">
        <v>1631</v>
      </c>
      <c r="D8" s="5">
        <v>1658</v>
      </c>
      <c r="E8" s="5">
        <v>1742</v>
      </c>
      <c r="F8" s="5">
        <v>1860</v>
      </c>
      <c r="G8" s="5">
        <v>2024</v>
      </c>
      <c r="H8" s="5">
        <v>2075</v>
      </c>
      <c r="I8" s="5">
        <v>2216</v>
      </c>
      <c r="J8" s="5">
        <v>2365</v>
      </c>
      <c r="K8" s="5">
        <v>2523</v>
      </c>
      <c r="L8" s="5">
        <v>2542</v>
      </c>
      <c r="M8" s="5"/>
      <c r="N8" s="5"/>
      <c r="O8" s="5"/>
      <c r="P8" s="5"/>
      <c r="Q8" s="5"/>
      <c r="R8" s="5"/>
      <c r="S8" s="5"/>
      <c r="T8" s="5"/>
      <c r="U8" s="5"/>
      <c r="V8" s="5"/>
      <c r="W8" s="5"/>
      <c r="X8" s="5"/>
      <c r="Y8" s="5"/>
      <c r="Z8" s="5">
        <v>5573</v>
      </c>
      <c r="AA8" s="5">
        <v>6891</v>
      </c>
      <c r="AB8" s="5">
        <v>8680</v>
      </c>
      <c r="AC8" s="5">
        <f>+AC6+AC7</f>
        <v>10646</v>
      </c>
      <c r="AD8" s="5">
        <f t="shared" ref="AD8:AI8" si="6">+AD6+AD7</f>
        <v>13057.859999999999</v>
      </c>
      <c r="AE8" s="5">
        <f t="shared" si="6"/>
        <v>15901.213199999998</v>
      </c>
      <c r="AF8" s="5">
        <f t="shared" si="6"/>
        <v>19081.455839999999</v>
      </c>
      <c r="AG8" s="5">
        <f t="shared" si="6"/>
        <v>22897.747007999998</v>
      </c>
      <c r="AH8" s="5">
        <f t="shared" si="6"/>
        <v>27477.296409599996</v>
      </c>
      <c r="AI8" s="5">
        <f t="shared" si="6"/>
        <v>32972.755691519997</v>
      </c>
      <c r="AJ8" s="5">
        <f t="shared" ref="AJ8" si="7">+AJ6+AJ7</f>
        <v>39567.306829823996</v>
      </c>
      <c r="AL8" s="1" t="s">
        <v>86</v>
      </c>
      <c r="AM8" s="14">
        <f>+AM7/main!J4</f>
        <v>833.4697796725294</v>
      </c>
    </row>
    <row r="9" spans="1:39" x14ac:dyDescent="0.25">
      <c r="B9" s="1" t="s">
        <v>8</v>
      </c>
      <c r="C9" s="5">
        <v>91</v>
      </c>
      <c r="D9" s="5">
        <v>94</v>
      </c>
      <c r="E9" s="5">
        <v>89</v>
      </c>
      <c r="F9" s="5">
        <v>80</v>
      </c>
      <c r="G9" s="5">
        <v>72</v>
      </c>
      <c r="H9" s="5">
        <v>75</v>
      </c>
      <c r="I9" s="5">
        <v>72</v>
      </c>
      <c r="J9" s="5">
        <v>72</v>
      </c>
      <c r="K9" s="5">
        <v>80</v>
      </c>
      <c r="L9" s="5">
        <v>85</v>
      </c>
      <c r="M9" s="5"/>
      <c r="N9" s="5"/>
      <c r="O9" s="5"/>
      <c r="P9" s="5"/>
      <c r="Q9" s="5"/>
      <c r="R9" s="5"/>
      <c r="S9" s="5"/>
      <c r="T9" s="5"/>
      <c r="U9" s="5"/>
      <c r="V9" s="5"/>
      <c r="W9" s="5"/>
      <c r="X9" s="5"/>
      <c r="Y9" s="5"/>
      <c r="Z9" s="5">
        <v>323</v>
      </c>
      <c r="AA9" s="5">
        <v>354</v>
      </c>
      <c r="AB9" s="5">
        <v>291</v>
      </c>
      <c r="AC9" s="5">
        <v>338</v>
      </c>
      <c r="AD9" s="5">
        <f t="shared" ref="AD9:AI9" si="8">+AC9*1.025</f>
        <v>346.45</v>
      </c>
      <c r="AE9" s="5">
        <f t="shared" si="8"/>
        <v>355.11124999999998</v>
      </c>
      <c r="AF9" s="5">
        <f t="shared" si="8"/>
        <v>363.98903124999993</v>
      </c>
      <c r="AG9" s="5">
        <f t="shared" si="8"/>
        <v>373.08875703124988</v>
      </c>
      <c r="AH9" s="5">
        <f t="shared" si="8"/>
        <v>382.41597595703109</v>
      </c>
      <c r="AI9" s="5">
        <f t="shared" si="8"/>
        <v>391.97637535595686</v>
      </c>
      <c r="AJ9" s="5">
        <f t="shared" ref="AJ9" si="9">+AI9*1.025</f>
        <v>401.77578473985574</v>
      </c>
    </row>
    <row r="10" spans="1:39" x14ac:dyDescent="0.2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L10" s="1" t="s">
        <v>89</v>
      </c>
      <c r="AM10" s="22">
        <f>+main!J8/model!AC46</f>
        <v>42.183308931185941</v>
      </c>
    </row>
    <row r="11" spans="1:39" x14ac:dyDescent="0.25">
      <c r="B11" s="2" t="s">
        <v>73</v>
      </c>
      <c r="C11" s="6">
        <f t="shared" ref="C11:J11" si="10">+C8+C9</f>
        <v>1722</v>
      </c>
      <c r="D11" s="6">
        <f t="shared" si="10"/>
        <v>1752</v>
      </c>
      <c r="E11" s="6">
        <f t="shared" si="10"/>
        <v>1831</v>
      </c>
      <c r="F11" s="6">
        <f t="shared" si="10"/>
        <v>1940</v>
      </c>
      <c r="G11" s="6">
        <f t="shared" si="10"/>
        <v>2096</v>
      </c>
      <c r="H11" s="6">
        <f t="shared" si="10"/>
        <v>2150</v>
      </c>
      <c r="I11" s="6">
        <f t="shared" si="10"/>
        <v>2288</v>
      </c>
      <c r="J11" s="6">
        <f t="shared" si="10"/>
        <v>2437</v>
      </c>
      <c r="K11" s="6">
        <f>+K8+K9</f>
        <v>2603</v>
      </c>
      <c r="L11" s="6">
        <f t="shared" ref="L11:N11" si="11">+L8+L9</f>
        <v>2627</v>
      </c>
      <c r="M11" s="6">
        <f t="shared" si="11"/>
        <v>0</v>
      </c>
      <c r="N11" s="6">
        <f t="shared" si="11"/>
        <v>0</v>
      </c>
      <c r="O11" s="5"/>
      <c r="P11" s="5"/>
      <c r="Q11" s="18">
        <v>243.7</v>
      </c>
      <c r="R11" s="18">
        <v>424.6</v>
      </c>
      <c r="S11" s="18">
        <v>682.6</v>
      </c>
      <c r="T11" s="18">
        <v>1005.5</v>
      </c>
      <c r="U11" s="18">
        <v>1391</v>
      </c>
      <c r="V11" s="18">
        <v>1918.5</v>
      </c>
      <c r="W11" s="18">
        <v>2608.8000000000002</v>
      </c>
      <c r="X11" s="18">
        <v>3460</v>
      </c>
      <c r="Y11" s="18">
        <v>4519</v>
      </c>
      <c r="Z11" s="6">
        <f t="shared" ref="Z11:AI11" si="12">+Z8+Z9</f>
        <v>5896</v>
      </c>
      <c r="AA11" s="6">
        <f t="shared" si="12"/>
        <v>7245</v>
      </c>
      <c r="AB11" s="6">
        <f t="shared" si="12"/>
        <v>8971</v>
      </c>
      <c r="AC11" s="6">
        <f t="shared" si="12"/>
        <v>10984</v>
      </c>
      <c r="AD11" s="6">
        <f t="shared" si="12"/>
        <v>13404.31</v>
      </c>
      <c r="AE11" s="6">
        <f t="shared" si="12"/>
        <v>16256.324449999998</v>
      </c>
      <c r="AF11" s="6">
        <f t="shared" si="12"/>
        <v>19445.444871249998</v>
      </c>
      <c r="AG11" s="6">
        <f t="shared" si="12"/>
        <v>23270.83576503125</v>
      </c>
      <c r="AH11" s="6">
        <f t="shared" si="12"/>
        <v>27859.712385557028</v>
      </c>
      <c r="AI11" s="6">
        <f t="shared" si="12"/>
        <v>33364.732066875957</v>
      </c>
      <c r="AJ11" s="6">
        <f t="shared" ref="AJ11" si="13">+AJ8+AJ9</f>
        <v>39969.082614563849</v>
      </c>
    </row>
    <row r="12" spans="1:39" x14ac:dyDescent="0.25">
      <c r="B12" s="1" t="s">
        <v>21</v>
      </c>
      <c r="C12" s="5">
        <v>275</v>
      </c>
      <c r="D12" s="5">
        <v>287</v>
      </c>
      <c r="E12" s="5">
        <v>301</v>
      </c>
      <c r="F12" s="5">
        <v>324</v>
      </c>
      <c r="G12" s="5">
        <v>354</v>
      </c>
      <c r="H12" s="5">
        <v>389</v>
      </c>
      <c r="I12" s="5">
        <v>420</v>
      </c>
      <c r="J12" s="5">
        <v>443</v>
      </c>
      <c r="K12" s="5">
        <v>441</v>
      </c>
      <c r="L12" s="5">
        <v>469</v>
      </c>
      <c r="M12" s="5"/>
      <c r="N12" s="5"/>
      <c r="O12" s="5"/>
      <c r="P12" s="5"/>
      <c r="Q12" s="5"/>
      <c r="R12" s="5"/>
      <c r="S12" s="5"/>
      <c r="T12" s="5"/>
      <c r="U12" s="5"/>
      <c r="V12" s="5"/>
      <c r="W12" s="5"/>
      <c r="X12" s="5"/>
      <c r="Y12" s="5"/>
      <c r="Z12" s="5">
        <v>1022</v>
      </c>
      <c r="AA12" s="5">
        <v>1187</v>
      </c>
      <c r="AB12" s="5">
        <v>1606</v>
      </c>
      <c r="AC12" s="5">
        <v>1942</v>
      </c>
      <c r="AD12" s="5">
        <f t="shared" ref="AD12:AI12" si="14">+AD11*0.17</f>
        <v>2278.7327</v>
      </c>
      <c r="AE12" s="5">
        <f t="shared" si="14"/>
        <v>2763.5751565</v>
      </c>
      <c r="AF12" s="5">
        <f t="shared" si="14"/>
        <v>3305.7256281125001</v>
      </c>
      <c r="AG12" s="5">
        <f t="shared" si="14"/>
        <v>3956.0420800553129</v>
      </c>
      <c r="AH12" s="5">
        <f t="shared" si="14"/>
        <v>4736.1511055446954</v>
      </c>
      <c r="AI12" s="5">
        <f t="shared" si="14"/>
        <v>5672.0044513689127</v>
      </c>
      <c r="AJ12" s="5">
        <f t="shared" ref="AJ12" si="15">+AJ11*0.17</f>
        <v>6794.7440444758549</v>
      </c>
    </row>
    <row r="13" spans="1:39" x14ac:dyDescent="0.25">
      <c r="B13" s="1" t="s">
        <v>22</v>
      </c>
      <c r="C13" s="5">
        <v>94</v>
      </c>
      <c r="D13" s="5">
        <v>102</v>
      </c>
      <c r="E13" s="5">
        <v>99</v>
      </c>
      <c r="F13" s="5">
        <v>91</v>
      </c>
      <c r="G13" s="5">
        <v>84</v>
      </c>
      <c r="H13" s="5">
        <v>82</v>
      </c>
      <c r="I13" s="5">
        <v>76</v>
      </c>
      <c r="J13" s="5">
        <v>73</v>
      </c>
      <c r="K13" s="5">
        <v>79</v>
      </c>
      <c r="L13" s="5">
        <v>83</v>
      </c>
      <c r="M13" s="5"/>
      <c r="N13" s="5"/>
      <c r="O13" s="5"/>
      <c r="P13" s="5"/>
      <c r="Q13" s="5"/>
      <c r="R13" s="5"/>
      <c r="S13" s="5"/>
      <c r="T13" s="5"/>
      <c r="U13" s="5"/>
      <c r="V13" s="5"/>
      <c r="W13" s="5"/>
      <c r="X13" s="5"/>
      <c r="Y13" s="5"/>
      <c r="Z13" s="5">
        <v>331</v>
      </c>
      <c r="AA13" s="5">
        <v>386</v>
      </c>
      <c r="AB13" s="5">
        <v>315</v>
      </c>
      <c r="AC13" s="5">
        <v>345</v>
      </c>
      <c r="AD13" s="5">
        <f t="shared" ref="AD13:AI13" si="16">+AD11*0.035</f>
        <v>469.15085000000005</v>
      </c>
      <c r="AE13" s="5">
        <f t="shared" si="16"/>
        <v>568.97135575000004</v>
      </c>
      <c r="AF13" s="5">
        <f t="shared" si="16"/>
        <v>680.59057049374996</v>
      </c>
      <c r="AG13" s="5">
        <f t="shared" si="16"/>
        <v>814.47925177609386</v>
      </c>
      <c r="AH13" s="5">
        <f t="shared" si="16"/>
        <v>975.08993349449611</v>
      </c>
      <c r="AI13" s="5">
        <f t="shared" si="16"/>
        <v>1167.7656223406586</v>
      </c>
      <c r="AJ13" s="5">
        <f t="shared" ref="AJ13" si="17">+AJ11*0.035</f>
        <v>1398.9178915097348</v>
      </c>
    </row>
    <row r="14" spans="1:39" x14ac:dyDescent="0.25">
      <c r="B14" s="1" t="s">
        <v>23</v>
      </c>
      <c r="C14" s="5">
        <f t="shared" ref="C14:J14" si="18">+C12+C13</f>
        <v>369</v>
      </c>
      <c r="D14" s="5">
        <f t="shared" si="18"/>
        <v>389</v>
      </c>
      <c r="E14" s="5">
        <f t="shared" si="18"/>
        <v>400</v>
      </c>
      <c r="F14" s="5">
        <f t="shared" si="18"/>
        <v>415</v>
      </c>
      <c r="G14" s="5">
        <f t="shared" si="18"/>
        <v>438</v>
      </c>
      <c r="H14" s="5">
        <f t="shared" si="18"/>
        <v>471</v>
      </c>
      <c r="I14" s="5">
        <f t="shared" si="18"/>
        <v>496</v>
      </c>
      <c r="J14" s="5">
        <f t="shared" si="18"/>
        <v>516</v>
      </c>
      <c r="K14" s="5">
        <f>+K12+K13</f>
        <v>520</v>
      </c>
      <c r="L14" s="5">
        <f t="shared" ref="L14:N14" si="19">+L12+L13</f>
        <v>552</v>
      </c>
      <c r="M14" s="5">
        <f t="shared" si="19"/>
        <v>0</v>
      </c>
      <c r="N14" s="5">
        <f t="shared" si="19"/>
        <v>0</v>
      </c>
      <c r="O14" s="5"/>
      <c r="P14" s="5"/>
      <c r="Q14" s="19">
        <v>104</v>
      </c>
      <c r="R14" s="19">
        <v>155.30000000000001</v>
      </c>
      <c r="S14" s="19">
        <v>248.8</v>
      </c>
      <c r="T14" s="19">
        <v>329.4</v>
      </c>
      <c r="U14" s="19">
        <v>399</v>
      </c>
      <c r="V14" s="19">
        <v>499.9</v>
      </c>
      <c r="W14" s="19">
        <v>622.70000000000005</v>
      </c>
      <c r="X14" s="19">
        <v>796</v>
      </c>
      <c r="Y14" s="19">
        <v>987</v>
      </c>
      <c r="Z14" s="5">
        <f t="shared" ref="Z14:AI14" si="20">+Z12+Z13</f>
        <v>1353</v>
      </c>
      <c r="AA14" s="5">
        <f t="shared" si="20"/>
        <v>1573</v>
      </c>
      <c r="AB14" s="5">
        <f t="shared" si="20"/>
        <v>1921</v>
      </c>
      <c r="AC14" s="5">
        <f t="shared" si="20"/>
        <v>2287</v>
      </c>
      <c r="AD14" s="5">
        <f t="shared" si="20"/>
        <v>2747.88355</v>
      </c>
      <c r="AE14" s="5">
        <f t="shared" si="20"/>
        <v>3332.54651225</v>
      </c>
      <c r="AF14" s="5">
        <f t="shared" si="20"/>
        <v>3986.3161986062501</v>
      </c>
      <c r="AG14" s="5">
        <f t="shared" si="20"/>
        <v>4770.5213318314072</v>
      </c>
      <c r="AH14" s="5">
        <f t="shared" si="20"/>
        <v>5711.2410390391915</v>
      </c>
      <c r="AI14" s="5">
        <f t="shared" si="20"/>
        <v>6839.7700737095711</v>
      </c>
      <c r="AJ14" s="5">
        <f t="shared" ref="AJ14" si="21">+AJ12+AJ13</f>
        <v>8193.6619359855904</v>
      </c>
    </row>
    <row r="15" spans="1:39" x14ac:dyDescent="0.25">
      <c r="B15" s="1" t="s">
        <v>24</v>
      </c>
      <c r="C15" s="5">
        <f t="shared" ref="C15:J15" si="22">+C11-C14</f>
        <v>1353</v>
      </c>
      <c r="D15" s="5">
        <f t="shared" si="22"/>
        <v>1363</v>
      </c>
      <c r="E15" s="5">
        <f t="shared" si="22"/>
        <v>1431</v>
      </c>
      <c r="F15" s="5">
        <f t="shared" si="22"/>
        <v>1525</v>
      </c>
      <c r="G15" s="5">
        <f t="shared" si="22"/>
        <v>1658</v>
      </c>
      <c r="H15" s="5">
        <f t="shared" si="22"/>
        <v>1679</v>
      </c>
      <c r="I15" s="5">
        <f t="shared" si="22"/>
        <v>1792</v>
      </c>
      <c r="J15" s="5">
        <f t="shared" si="22"/>
        <v>1921</v>
      </c>
      <c r="K15" s="5">
        <f>+K11-K14</f>
        <v>2083</v>
      </c>
      <c r="L15" s="5">
        <f t="shared" ref="L15:N15" si="23">+L11-L14</f>
        <v>2075</v>
      </c>
      <c r="M15" s="5">
        <f t="shared" si="23"/>
        <v>0</v>
      </c>
      <c r="N15" s="5">
        <f t="shared" si="23"/>
        <v>0</v>
      </c>
      <c r="O15" s="5"/>
      <c r="P15" s="5"/>
      <c r="Q15" s="5">
        <f>+Q11-Q14</f>
        <v>139.69999999999999</v>
      </c>
      <c r="R15" s="5">
        <f t="shared" ref="R15:Y15" si="24">+R11-R14</f>
        <v>269.3</v>
      </c>
      <c r="S15" s="5">
        <f t="shared" si="24"/>
        <v>433.8</v>
      </c>
      <c r="T15" s="5">
        <f t="shared" si="24"/>
        <v>676.1</v>
      </c>
      <c r="U15" s="5">
        <f t="shared" si="24"/>
        <v>992</v>
      </c>
      <c r="V15" s="5">
        <f t="shared" si="24"/>
        <v>1418.6</v>
      </c>
      <c r="W15" s="5">
        <f t="shared" si="24"/>
        <v>1986.1000000000001</v>
      </c>
      <c r="X15" s="5">
        <f t="shared" si="24"/>
        <v>2664</v>
      </c>
      <c r="Y15" s="5">
        <f t="shared" si="24"/>
        <v>3532</v>
      </c>
      <c r="Z15" s="5">
        <f t="shared" ref="Z15:AI15" si="25">+Z11-Z14</f>
        <v>4543</v>
      </c>
      <c r="AA15" s="5">
        <f t="shared" si="25"/>
        <v>5672</v>
      </c>
      <c r="AB15" s="5">
        <f t="shared" si="25"/>
        <v>7050</v>
      </c>
      <c r="AC15" s="5">
        <f t="shared" si="25"/>
        <v>8697</v>
      </c>
      <c r="AD15" s="5">
        <f t="shared" si="25"/>
        <v>10656.426449999999</v>
      </c>
      <c r="AE15" s="5">
        <f t="shared" si="25"/>
        <v>12923.777937749997</v>
      </c>
      <c r="AF15" s="5">
        <f t="shared" si="25"/>
        <v>15459.128672643748</v>
      </c>
      <c r="AG15" s="5">
        <f t="shared" si="25"/>
        <v>18500.314433199841</v>
      </c>
      <c r="AH15" s="5">
        <f t="shared" si="25"/>
        <v>22148.471346517836</v>
      </c>
      <c r="AI15" s="5">
        <f t="shared" si="25"/>
        <v>26524.961993166384</v>
      </c>
      <c r="AJ15" s="5">
        <f t="shared" ref="AJ15" si="26">+AJ11-AJ14</f>
        <v>31775.420678578259</v>
      </c>
    </row>
    <row r="16" spans="1:39" x14ac:dyDescent="0.25">
      <c r="B16" s="1" t="s">
        <v>25</v>
      </c>
      <c r="C16" s="5">
        <v>673</v>
      </c>
      <c r="D16" s="5">
        <v>722</v>
      </c>
      <c r="E16" s="5">
        <v>697</v>
      </c>
      <c r="F16" s="5">
        <v>722</v>
      </c>
      <c r="G16" s="5">
        <v>823</v>
      </c>
      <c r="H16" s="5">
        <v>832</v>
      </c>
      <c r="I16" s="5">
        <v>799</v>
      </c>
      <c r="J16" s="5">
        <v>847</v>
      </c>
      <c r="K16" s="5">
        <v>923</v>
      </c>
      <c r="L16" s="5">
        <v>960</v>
      </c>
      <c r="M16" s="5"/>
      <c r="N16" s="5"/>
      <c r="O16" s="5"/>
      <c r="P16" s="5"/>
      <c r="Q16" s="5"/>
      <c r="R16" s="5"/>
      <c r="S16" s="5"/>
      <c r="T16" s="5"/>
      <c r="U16" s="5"/>
      <c r="V16" s="5"/>
      <c r="W16" s="5"/>
      <c r="X16" s="5"/>
      <c r="Y16" s="5"/>
      <c r="Z16" s="5">
        <v>2292</v>
      </c>
      <c r="AA16" s="5">
        <v>2814</v>
      </c>
      <c r="AB16" s="5">
        <v>3301</v>
      </c>
      <c r="AC16" s="5">
        <v>3854</v>
      </c>
      <c r="AD16" s="5">
        <f>+AD11*0.33</f>
        <v>4423.4223000000002</v>
      </c>
      <c r="AE16" s="5">
        <f>+AE11*0.3</f>
        <v>4876.8973349999997</v>
      </c>
      <c r="AF16" s="5">
        <f t="shared" ref="AF16:AI16" si="27">+AF11*0.3</f>
        <v>5833.6334613749996</v>
      </c>
      <c r="AG16" s="5">
        <f t="shared" si="27"/>
        <v>6981.2507295093747</v>
      </c>
      <c r="AH16" s="5">
        <f t="shared" si="27"/>
        <v>8357.9137156671077</v>
      </c>
      <c r="AI16" s="5">
        <f t="shared" si="27"/>
        <v>10009.419620062787</v>
      </c>
      <c r="AJ16" s="5">
        <f t="shared" ref="AJ16" si="28">+AJ11*0.3</f>
        <v>11990.724784369155</v>
      </c>
    </row>
    <row r="17" spans="2:77" x14ac:dyDescent="0.25">
      <c r="B17" s="1" t="s">
        <v>26</v>
      </c>
      <c r="C17" s="5">
        <v>414</v>
      </c>
      <c r="D17" s="5">
        <v>444</v>
      </c>
      <c r="E17" s="5">
        <v>456</v>
      </c>
      <c r="F17" s="5">
        <v>454</v>
      </c>
      <c r="G17" s="5">
        <v>492</v>
      </c>
      <c r="H17" s="5">
        <v>521</v>
      </c>
      <c r="I17" s="5">
        <v>549</v>
      </c>
      <c r="J17" s="5">
        <v>562</v>
      </c>
      <c r="K17" s="5">
        <v>606</v>
      </c>
      <c r="L17" s="5">
        <v>643</v>
      </c>
      <c r="M17" s="5"/>
      <c r="N17" s="5"/>
      <c r="O17" s="5"/>
      <c r="P17" s="5"/>
      <c r="Q17" s="19">
        <v>39.299999999999997</v>
      </c>
      <c r="R17" s="19">
        <v>78.7</v>
      </c>
      <c r="S17" s="19">
        <v>148.30000000000001</v>
      </c>
      <c r="T17" s="19">
        <v>217.4</v>
      </c>
      <c r="U17" s="19">
        <v>285.2</v>
      </c>
      <c r="V17" s="19">
        <v>377.5</v>
      </c>
      <c r="W17" s="19">
        <v>529.5</v>
      </c>
      <c r="X17" s="19">
        <v>749</v>
      </c>
      <c r="Y17" s="19">
        <v>1024</v>
      </c>
      <c r="Z17" s="5">
        <v>1397</v>
      </c>
      <c r="AA17" s="5">
        <v>1768</v>
      </c>
      <c r="AB17" s="5">
        <v>2124</v>
      </c>
      <c r="AC17" s="5">
        <v>2543</v>
      </c>
      <c r="AD17" s="5">
        <f>+AD11*0.19</f>
        <v>2546.8188999999998</v>
      </c>
      <c r="AE17" s="5">
        <f>+AE11*0.16</f>
        <v>2601.0119119999999</v>
      </c>
      <c r="AF17" s="5">
        <f>+AF11*0.14</f>
        <v>2722.3622819749999</v>
      </c>
      <c r="AG17" s="5">
        <f>+AG11*0.13</f>
        <v>3025.2086494540627</v>
      </c>
      <c r="AH17" s="5">
        <f>+AH11*0.13</f>
        <v>3621.7626101224137</v>
      </c>
      <c r="AI17" s="5">
        <f t="shared" ref="AI17:AJ17" si="29">+AI11*0.13</f>
        <v>4337.4151686938749</v>
      </c>
      <c r="AJ17" s="5">
        <f t="shared" si="29"/>
        <v>5195.9807398933008</v>
      </c>
    </row>
    <row r="18" spans="2:77" x14ac:dyDescent="0.25">
      <c r="B18" s="1" t="s">
        <v>27</v>
      </c>
      <c r="C18" s="5">
        <v>179</v>
      </c>
      <c r="D18" s="5">
        <v>175</v>
      </c>
      <c r="E18" s="5">
        <v>187</v>
      </c>
      <c r="F18" s="5">
        <v>194</v>
      </c>
      <c r="G18" s="5">
        <v>199</v>
      </c>
      <c r="H18" s="5">
        <v>209</v>
      </c>
      <c r="I18" s="5">
        <v>213</v>
      </c>
      <c r="J18" s="5">
        <v>242</v>
      </c>
      <c r="K18" s="5">
        <v>222</v>
      </c>
      <c r="L18" s="5">
        <v>232</v>
      </c>
      <c r="M18" s="5"/>
      <c r="N18" s="5"/>
      <c r="O18" s="5"/>
      <c r="P18" s="5"/>
      <c r="Q18" s="5"/>
      <c r="R18" s="5"/>
      <c r="S18" s="5"/>
      <c r="T18" s="5"/>
      <c r="U18" s="5"/>
      <c r="V18" s="5"/>
      <c r="W18" s="5"/>
      <c r="X18" s="5"/>
      <c r="Y18" s="5"/>
      <c r="Z18" s="5">
        <v>597</v>
      </c>
      <c r="AA18" s="5">
        <v>735</v>
      </c>
      <c r="AB18" s="5">
        <v>863</v>
      </c>
      <c r="AC18" s="5">
        <v>936</v>
      </c>
      <c r="AD18" s="5">
        <f>+AD11*0.09</f>
        <v>1206.3878999999999</v>
      </c>
      <c r="AE18" s="5">
        <f>+AE11*0.085</f>
        <v>1381.78757825</v>
      </c>
      <c r="AF18" s="5">
        <f>+AF11*0.08</f>
        <v>1555.6355896999999</v>
      </c>
      <c r="AG18" s="5">
        <f>+AG11*0.07</f>
        <v>1628.9585035521877</v>
      </c>
      <c r="AH18" s="5">
        <f t="shared" ref="AH18:AI18" si="30">+AH11*0.07</f>
        <v>1950.1798669889922</v>
      </c>
      <c r="AI18" s="5">
        <f t="shared" si="30"/>
        <v>2335.5312446813173</v>
      </c>
      <c r="AJ18" s="5">
        <f t="shared" ref="AJ18" si="31">+AJ11*0.07</f>
        <v>2797.8357830194695</v>
      </c>
    </row>
    <row r="19" spans="2:77" x14ac:dyDescent="0.25">
      <c r="B19" s="1" t="s">
        <v>28</v>
      </c>
      <c r="C19" s="5">
        <f t="shared" ref="C19:J19" si="32">+C16+C17+C18</f>
        <v>1266</v>
      </c>
      <c r="D19" s="5">
        <f t="shared" si="32"/>
        <v>1341</v>
      </c>
      <c r="E19" s="5">
        <f t="shared" si="32"/>
        <v>1340</v>
      </c>
      <c r="F19" s="5">
        <f t="shared" si="32"/>
        <v>1370</v>
      </c>
      <c r="G19" s="5">
        <f t="shared" si="32"/>
        <v>1514</v>
      </c>
      <c r="H19" s="5">
        <f t="shared" si="32"/>
        <v>1562</v>
      </c>
      <c r="I19" s="5">
        <f t="shared" si="32"/>
        <v>1561</v>
      </c>
      <c r="J19" s="5">
        <f t="shared" si="32"/>
        <v>1651</v>
      </c>
      <c r="K19" s="5">
        <f>+K16+K17+K18</f>
        <v>1751</v>
      </c>
      <c r="L19" s="5">
        <f t="shared" ref="L19:N19" si="33">+L16+L17+L18</f>
        <v>1835</v>
      </c>
      <c r="M19" s="5">
        <f t="shared" si="33"/>
        <v>0</v>
      </c>
      <c r="N19" s="5">
        <f t="shared" si="33"/>
        <v>0</v>
      </c>
      <c r="O19" s="5"/>
      <c r="P19" s="5"/>
      <c r="Q19" s="19">
        <v>177.3</v>
      </c>
      <c r="R19" s="19">
        <v>335.7</v>
      </c>
      <c r="S19" s="19">
        <v>585.6</v>
      </c>
      <c r="T19" s="19">
        <v>842.4</v>
      </c>
      <c r="U19" s="19">
        <v>1374.2</v>
      </c>
      <c r="V19" s="19">
        <v>1483</v>
      </c>
      <c r="W19" s="19">
        <v>2028.6</v>
      </c>
      <c r="X19" s="19">
        <v>2622</v>
      </c>
      <c r="Y19" s="19">
        <v>3333</v>
      </c>
      <c r="Z19" s="5">
        <f t="shared" ref="Z19:AI19" si="34">+Z16+Z17+Z18</f>
        <v>4286</v>
      </c>
      <c r="AA19" s="5">
        <f t="shared" si="34"/>
        <v>5317</v>
      </c>
      <c r="AB19" s="5">
        <f t="shared" si="34"/>
        <v>6288</v>
      </c>
      <c r="AC19" s="5">
        <f t="shared" si="34"/>
        <v>7333</v>
      </c>
      <c r="AD19" s="5">
        <f t="shared" si="34"/>
        <v>8176.6291000000001</v>
      </c>
      <c r="AE19" s="5">
        <f t="shared" si="34"/>
        <v>8859.6968252499992</v>
      </c>
      <c r="AF19" s="5">
        <f t="shared" si="34"/>
        <v>10111.631333049998</v>
      </c>
      <c r="AG19" s="5">
        <f t="shared" si="34"/>
        <v>11635.417882515627</v>
      </c>
      <c r="AH19" s="5">
        <f t="shared" si="34"/>
        <v>13929.856192778514</v>
      </c>
      <c r="AI19" s="5">
        <f t="shared" si="34"/>
        <v>16682.366033437978</v>
      </c>
      <c r="AJ19" s="5">
        <f t="shared" ref="AJ19" si="35">+AJ16+AJ17+AJ18</f>
        <v>19984.541307281925</v>
      </c>
    </row>
    <row r="20" spans="2:77" x14ac:dyDescent="0.25">
      <c r="B20" s="2" t="s">
        <v>29</v>
      </c>
      <c r="C20" s="6">
        <f t="shared" ref="C20:F20" si="36">+C15-C19</f>
        <v>87</v>
      </c>
      <c r="D20" s="6">
        <f t="shared" si="36"/>
        <v>22</v>
      </c>
      <c r="E20" s="6">
        <f t="shared" si="36"/>
        <v>91</v>
      </c>
      <c r="F20" s="6">
        <f t="shared" si="36"/>
        <v>155</v>
      </c>
      <c r="G20" s="6">
        <f>+G15-G19</f>
        <v>144</v>
      </c>
      <c r="H20" s="6">
        <f t="shared" ref="H20:K20" si="37">+H15-H19</f>
        <v>117</v>
      </c>
      <c r="I20" s="6">
        <f t="shared" si="37"/>
        <v>231</v>
      </c>
      <c r="J20" s="6">
        <f t="shared" si="37"/>
        <v>270</v>
      </c>
      <c r="K20" s="6">
        <f t="shared" si="37"/>
        <v>332</v>
      </c>
      <c r="L20" s="6">
        <f t="shared" ref="L20" si="38">+L15-L19</f>
        <v>240</v>
      </c>
      <c r="M20" s="6">
        <f t="shared" ref="M20" si="39">+M15-M19</f>
        <v>0</v>
      </c>
      <c r="N20" s="6">
        <f t="shared" ref="N20" si="40">+N15-N19</f>
        <v>0</v>
      </c>
      <c r="O20" s="5"/>
      <c r="P20" s="5"/>
      <c r="Q20" s="5">
        <f>+Q15-Q19</f>
        <v>-37.600000000000023</v>
      </c>
      <c r="R20" s="5">
        <f t="shared" ref="R20:Y20" si="41">+R15-R19</f>
        <v>-66.399999999999977</v>
      </c>
      <c r="S20" s="5">
        <f t="shared" si="41"/>
        <v>-151.80000000000001</v>
      </c>
      <c r="T20" s="5">
        <f t="shared" si="41"/>
        <v>-166.29999999999995</v>
      </c>
      <c r="U20" s="5">
        <f t="shared" si="41"/>
        <v>-382.20000000000005</v>
      </c>
      <c r="V20" s="5">
        <f t="shared" si="41"/>
        <v>-64.400000000000091</v>
      </c>
      <c r="W20" s="5">
        <f t="shared" si="41"/>
        <v>-42.499999999999773</v>
      </c>
      <c r="X20" s="5">
        <f t="shared" si="41"/>
        <v>42</v>
      </c>
      <c r="Y20" s="5">
        <f t="shared" si="41"/>
        <v>199</v>
      </c>
      <c r="Z20" s="6">
        <f t="shared" ref="Z20:AI20" si="42">+Z15-Z19</f>
        <v>257</v>
      </c>
      <c r="AA20" s="6">
        <f t="shared" si="42"/>
        <v>355</v>
      </c>
      <c r="AB20" s="6">
        <f t="shared" si="42"/>
        <v>762</v>
      </c>
      <c r="AC20" s="6">
        <f t="shared" si="42"/>
        <v>1364</v>
      </c>
      <c r="AD20" s="6">
        <f t="shared" si="42"/>
        <v>2479.7973499999989</v>
      </c>
      <c r="AE20" s="6">
        <f t="shared" si="42"/>
        <v>4064.0811124999982</v>
      </c>
      <c r="AF20" s="6">
        <f t="shared" si="42"/>
        <v>5347.4973395937504</v>
      </c>
      <c r="AG20" s="6">
        <f t="shared" si="42"/>
        <v>6864.8965506842142</v>
      </c>
      <c r="AH20" s="6">
        <f t="shared" si="42"/>
        <v>8218.6151537393216</v>
      </c>
      <c r="AI20" s="6">
        <f t="shared" si="42"/>
        <v>9842.5959597284054</v>
      </c>
      <c r="AJ20" s="6">
        <f t="shared" ref="AJ20" si="43">+AJ15-AJ19</f>
        <v>11790.879371296334</v>
      </c>
    </row>
    <row r="21" spans="2:77" x14ac:dyDescent="0.25">
      <c r="B21" s="1" t="s">
        <v>30</v>
      </c>
      <c r="C21" s="5">
        <v>-6</v>
      </c>
      <c r="D21" s="5">
        <v>-6</v>
      </c>
      <c r="E21" s="5">
        <v>26</v>
      </c>
      <c r="F21" s="5">
        <v>39</v>
      </c>
      <c r="G21" s="5">
        <v>60</v>
      </c>
      <c r="H21" s="5">
        <v>74</v>
      </c>
      <c r="I21" s="5">
        <v>82</v>
      </c>
      <c r="J21" s="5">
        <v>86</v>
      </c>
      <c r="K21" s="5">
        <v>101</v>
      </c>
      <c r="L21" s="5">
        <v>104</v>
      </c>
      <c r="M21" s="5"/>
      <c r="N21" s="5"/>
      <c r="O21" s="5"/>
      <c r="P21" s="5"/>
      <c r="Q21" s="5"/>
      <c r="R21" s="5"/>
      <c r="S21" s="5"/>
      <c r="T21" s="5"/>
      <c r="U21" s="5"/>
      <c r="V21" s="5"/>
      <c r="W21" s="5"/>
      <c r="X21" s="5"/>
      <c r="Y21" s="5"/>
      <c r="Z21" s="5">
        <v>20</v>
      </c>
      <c r="AA21" s="5">
        <v>82</v>
      </c>
      <c r="AB21" s="5">
        <v>302</v>
      </c>
      <c r="AC21" s="5">
        <v>419</v>
      </c>
      <c r="AD21" s="5">
        <f t="shared" ref="AD21:AI21" si="44">+AC50*$AM$4</f>
        <v>1257.5999999999999</v>
      </c>
      <c r="AE21" s="5">
        <f t="shared" si="44"/>
        <v>1700.4815859749999</v>
      </c>
      <c r="AF21" s="5">
        <f t="shared" si="44"/>
        <v>2383.5822657442868</v>
      </c>
      <c r="AG21" s="5">
        <f t="shared" si="44"/>
        <v>3299.7151989768445</v>
      </c>
      <c r="AH21" s="5">
        <f t="shared" si="44"/>
        <v>4504.2216913116799</v>
      </c>
      <c r="AI21" s="5">
        <f t="shared" si="44"/>
        <v>6011.8778574502239</v>
      </c>
      <c r="AJ21" s="5">
        <f t="shared" ref="AJ21" si="45">+AI50*$AM$4</f>
        <v>7890.633004785891</v>
      </c>
    </row>
    <row r="22" spans="2:77" x14ac:dyDescent="0.25">
      <c r="B22" s="1" t="s">
        <v>31</v>
      </c>
      <c r="C22" s="5">
        <v>4</v>
      </c>
      <c r="D22" s="5">
        <v>13</v>
      </c>
      <c r="E22" s="5">
        <v>-15</v>
      </c>
      <c r="F22" s="5">
        <v>-11</v>
      </c>
      <c r="G22" s="5">
        <v>-16</v>
      </c>
      <c r="H22" s="5">
        <v>-17</v>
      </c>
      <c r="I22" s="5">
        <v>-14</v>
      </c>
      <c r="J22" s="5">
        <v>-9</v>
      </c>
      <c r="K22" s="5">
        <v>-8</v>
      </c>
      <c r="L22" s="5">
        <v>-10</v>
      </c>
      <c r="M22" s="5"/>
      <c r="N22" s="5"/>
      <c r="O22" s="5"/>
      <c r="P22" s="5"/>
      <c r="Q22" s="5"/>
      <c r="R22" s="5"/>
      <c r="S22" s="5"/>
      <c r="T22" s="5"/>
      <c r="U22" s="5"/>
      <c r="V22" s="5"/>
      <c r="W22" s="5"/>
      <c r="X22" s="5"/>
      <c r="Y22" s="5"/>
      <c r="Z22" s="5">
        <v>-28</v>
      </c>
      <c r="AA22" s="5">
        <v>-38</v>
      </c>
      <c r="AB22" s="5">
        <v>-56</v>
      </c>
      <c r="AC22" s="5">
        <v>-45</v>
      </c>
      <c r="AD22" s="5"/>
      <c r="AE22" s="5"/>
      <c r="AF22" s="5"/>
      <c r="AG22" s="5"/>
      <c r="AH22" s="5"/>
      <c r="AI22" s="5"/>
      <c r="AJ22" s="5"/>
    </row>
    <row r="23" spans="2:77" x14ac:dyDescent="0.25">
      <c r="B23" s="1" t="s">
        <v>32</v>
      </c>
      <c r="C23" s="5">
        <f t="shared" ref="C23:J23" si="46">+C20+C21+C22</f>
        <v>85</v>
      </c>
      <c r="D23" s="5">
        <f t="shared" si="46"/>
        <v>29</v>
      </c>
      <c r="E23" s="5">
        <f t="shared" si="46"/>
        <v>102</v>
      </c>
      <c r="F23" s="5">
        <f t="shared" si="46"/>
        <v>183</v>
      </c>
      <c r="G23" s="5">
        <f t="shared" si="46"/>
        <v>188</v>
      </c>
      <c r="H23" s="5">
        <f t="shared" si="46"/>
        <v>174</v>
      </c>
      <c r="I23" s="5">
        <f t="shared" si="46"/>
        <v>299</v>
      </c>
      <c r="J23" s="5">
        <f t="shared" si="46"/>
        <v>347</v>
      </c>
      <c r="K23" s="5">
        <f>+K20+K21+K22</f>
        <v>425</v>
      </c>
      <c r="L23" s="5">
        <f t="shared" ref="L23:N23" si="47">+L20+L21+L22</f>
        <v>334</v>
      </c>
      <c r="M23" s="5">
        <f t="shared" si="47"/>
        <v>0</v>
      </c>
      <c r="N23" s="5">
        <f t="shared" si="47"/>
        <v>0</v>
      </c>
      <c r="O23" s="5"/>
      <c r="P23" s="5"/>
      <c r="Q23" s="5"/>
      <c r="R23" s="5"/>
      <c r="S23" s="5"/>
      <c r="T23" s="5"/>
      <c r="U23" s="5"/>
      <c r="V23" s="5"/>
      <c r="W23" s="5"/>
      <c r="X23" s="5"/>
      <c r="Y23" s="5"/>
      <c r="Z23" s="5">
        <f t="shared" ref="Z23:AI23" si="48">+Z20+Z21+Z22</f>
        <v>249</v>
      </c>
      <c r="AA23" s="5">
        <f t="shared" si="48"/>
        <v>399</v>
      </c>
      <c r="AB23" s="5">
        <f t="shared" si="48"/>
        <v>1008</v>
      </c>
      <c r="AC23" s="5">
        <f t="shared" si="48"/>
        <v>1738</v>
      </c>
      <c r="AD23" s="5">
        <f t="shared" si="48"/>
        <v>3737.3973499999988</v>
      </c>
      <c r="AE23" s="5">
        <f t="shared" si="48"/>
        <v>5764.5626984749979</v>
      </c>
      <c r="AF23" s="5">
        <f t="shared" si="48"/>
        <v>7731.0796053380373</v>
      </c>
      <c r="AG23" s="5">
        <f t="shared" si="48"/>
        <v>10164.611749661059</v>
      </c>
      <c r="AH23" s="5">
        <f t="shared" si="48"/>
        <v>12722.836845051002</v>
      </c>
      <c r="AI23" s="5">
        <f t="shared" si="48"/>
        <v>15854.47381717863</v>
      </c>
      <c r="AJ23" s="5">
        <f t="shared" ref="AJ23" si="49">+AJ20+AJ21+AJ22</f>
        <v>19681.512376082224</v>
      </c>
    </row>
    <row r="24" spans="2:77" x14ac:dyDescent="0.25">
      <c r="B24" s="1" t="s">
        <v>33</v>
      </c>
      <c r="C24" s="5">
        <v>10</v>
      </c>
      <c r="D24" s="5">
        <v>9</v>
      </c>
      <c r="E24" s="5">
        <v>22</v>
      </c>
      <c r="F24" s="5">
        <v>33</v>
      </c>
      <c r="G24" s="5">
        <v>38</v>
      </c>
      <c r="H24" s="5">
        <v>870</v>
      </c>
      <c r="I24" s="5">
        <v>57</v>
      </c>
      <c r="J24" s="5">
        <v>52</v>
      </c>
      <c r="K24" s="5">
        <v>78</v>
      </c>
      <c r="L24" s="5">
        <v>72</v>
      </c>
      <c r="M24" s="5"/>
      <c r="N24" s="5"/>
      <c r="O24" s="5"/>
      <c r="P24" s="5"/>
      <c r="Q24" s="5"/>
      <c r="R24" s="5"/>
      <c r="S24" s="5"/>
      <c r="T24" s="5"/>
      <c r="U24" s="5"/>
      <c r="V24" s="5"/>
      <c r="W24" s="5"/>
      <c r="X24" s="5"/>
      <c r="Y24" s="5"/>
      <c r="Z24" s="5">
        <v>19</v>
      </c>
      <c r="AA24" s="5">
        <v>74</v>
      </c>
      <c r="AB24" s="5">
        <v>-723</v>
      </c>
      <c r="AC24" s="5">
        <v>313</v>
      </c>
      <c r="AD24" s="5">
        <f t="shared" ref="AD24:AI24" si="50">+AD23*0.21</f>
        <v>784.85344349999968</v>
      </c>
      <c r="AE24" s="5">
        <f t="shared" si="50"/>
        <v>1210.5581666797495</v>
      </c>
      <c r="AF24" s="5">
        <f t="shared" si="50"/>
        <v>1623.5267171209878</v>
      </c>
      <c r="AG24" s="5">
        <f t="shared" si="50"/>
        <v>2134.5684674288223</v>
      </c>
      <c r="AH24" s="5">
        <f t="shared" si="50"/>
        <v>2671.7957374607104</v>
      </c>
      <c r="AI24" s="5">
        <f t="shared" si="50"/>
        <v>3329.4395016075123</v>
      </c>
      <c r="AJ24" s="5">
        <f t="shared" ref="AJ24" si="51">+AJ23*0.21</f>
        <v>4133.1175989772673</v>
      </c>
    </row>
    <row r="25" spans="2:77" x14ac:dyDescent="0.25">
      <c r="B25" s="2" t="s">
        <v>34</v>
      </c>
      <c r="C25" s="6">
        <f t="shared" ref="C25:J25" si="52">+C23-C24</f>
        <v>75</v>
      </c>
      <c r="D25" s="6">
        <f t="shared" si="52"/>
        <v>20</v>
      </c>
      <c r="E25" s="6">
        <f t="shared" si="52"/>
        <v>80</v>
      </c>
      <c r="F25" s="6">
        <f t="shared" si="52"/>
        <v>150</v>
      </c>
      <c r="G25" s="6">
        <f t="shared" si="52"/>
        <v>150</v>
      </c>
      <c r="H25" s="6">
        <f t="shared" si="52"/>
        <v>-696</v>
      </c>
      <c r="I25" s="6">
        <f t="shared" si="52"/>
        <v>242</v>
      </c>
      <c r="J25" s="6">
        <f t="shared" si="52"/>
        <v>295</v>
      </c>
      <c r="K25" s="6">
        <f>+K23-K24</f>
        <v>347</v>
      </c>
      <c r="L25" s="6">
        <f t="shared" ref="L25:N25" si="53">+L23-L24</f>
        <v>262</v>
      </c>
      <c r="M25" s="6">
        <f t="shared" si="53"/>
        <v>0</v>
      </c>
      <c r="N25" s="6">
        <f t="shared" si="53"/>
        <v>0</v>
      </c>
      <c r="O25" s="6"/>
      <c r="P25" s="6"/>
      <c r="Q25" s="6"/>
      <c r="R25" s="6"/>
      <c r="S25" s="6"/>
      <c r="T25" s="6"/>
      <c r="U25" s="6"/>
      <c r="V25" s="6"/>
      <c r="W25" s="6"/>
      <c r="X25" s="6"/>
      <c r="Y25" s="6"/>
      <c r="Z25" s="6">
        <f t="shared" ref="Z25:AI25" si="54">+Z23-Z24</f>
        <v>230</v>
      </c>
      <c r="AA25" s="6">
        <f t="shared" si="54"/>
        <v>325</v>
      </c>
      <c r="AB25" s="6">
        <f t="shared" si="54"/>
        <v>1731</v>
      </c>
      <c r="AC25" s="6">
        <f t="shared" si="54"/>
        <v>1425</v>
      </c>
      <c r="AD25" s="6">
        <f t="shared" si="54"/>
        <v>2952.5439064999991</v>
      </c>
      <c r="AE25" s="6">
        <f t="shared" si="54"/>
        <v>4554.0045317952481</v>
      </c>
      <c r="AF25" s="6">
        <f t="shared" si="54"/>
        <v>6107.5528882170493</v>
      </c>
      <c r="AG25" s="6">
        <f t="shared" si="54"/>
        <v>8030.0432822322364</v>
      </c>
      <c r="AH25" s="6">
        <f t="shared" si="54"/>
        <v>10051.041107590292</v>
      </c>
      <c r="AI25" s="6">
        <f t="shared" si="54"/>
        <v>12525.034315571118</v>
      </c>
      <c r="AJ25" s="6">
        <f t="shared" ref="AJ25" si="55">+AJ23-AJ24</f>
        <v>15548.394777104957</v>
      </c>
      <c r="AK25" s="6"/>
      <c r="AL25" s="6">
        <f>+AJ25*(1+$AM$3)</f>
        <v>16325.814515960206</v>
      </c>
      <c r="AM25" s="6">
        <f t="shared" ref="AM25:BY25" si="56">+AL25*(1+$AM$3)</f>
        <v>17142.105241758218</v>
      </c>
      <c r="AN25" s="6">
        <f t="shared" si="56"/>
        <v>17999.21050384613</v>
      </c>
      <c r="AO25" s="6">
        <f t="shared" si="56"/>
        <v>18899.171029038436</v>
      </c>
      <c r="AP25" s="6">
        <f t="shared" si="56"/>
        <v>19844.12958049036</v>
      </c>
      <c r="AQ25" s="6">
        <f t="shared" si="56"/>
        <v>20836.336059514881</v>
      </c>
      <c r="AR25" s="6">
        <f t="shared" si="56"/>
        <v>21878.152862490624</v>
      </c>
      <c r="AS25" s="6">
        <f t="shared" si="56"/>
        <v>22972.060505615158</v>
      </c>
      <c r="AT25" s="6">
        <f t="shared" si="56"/>
        <v>24120.663530895916</v>
      </c>
      <c r="AU25" s="6">
        <f t="shared" si="56"/>
        <v>25326.696707440711</v>
      </c>
      <c r="AV25" s="6">
        <f t="shared" si="56"/>
        <v>26593.031542812747</v>
      </c>
      <c r="AW25" s="6">
        <f t="shared" si="56"/>
        <v>27922.683119953384</v>
      </c>
      <c r="AX25" s="6">
        <f t="shared" si="56"/>
        <v>29318.817275951056</v>
      </c>
      <c r="AY25" s="6">
        <f t="shared" si="56"/>
        <v>30784.75813974861</v>
      </c>
      <c r="AZ25" s="6">
        <f t="shared" si="56"/>
        <v>32323.996046736043</v>
      </c>
      <c r="BA25" s="6">
        <f t="shared" si="56"/>
        <v>33940.19584907285</v>
      </c>
      <c r="BB25" s="6">
        <f t="shared" si="56"/>
        <v>35637.205641526496</v>
      </c>
      <c r="BC25" s="6">
        <f t="shared" si="56"/>
        <v>37419.065923602822</v>
      </c>
      <c r="BD25" s="6">
        <f t="shared" si="56"/>
        <v>39290.019219782967</v>
      </c>
      <c r="BE25" s="6">
        <f t="shared" si="56"/>
        <v>41254.520180772117</v>
      </c>
      <c r="BF25" s="6">
        <f t="shared" si="56"/>
        <v>43317.246189810721</v>
      </c>
      <c r="BG25" s="6">
        <f t="shared" si="56"/>
        <v>45483.108499301263</v>
      </c>
      <c r="BH25" s="6">
        <f t="shared" si="56"/>
        <v>47757.263924266328</v>
      </c>
      <c r="BI25" s="6">
        <f t="shared" si="56"/>
        <v>50145.127120479643</v>
      </c>
      <c r="BJ25" s="6">
        <f t="shared" si="56"/>
        <v>52652.38347650363</v>
      </c>
      <c r="BK25" s="6">
        <f t="shared" si="56"/>
        <v>55285.002650328817</v>
      </c>
      <c r="BL25" s="6">
        <f t="shared" si="56"/>
        <v>58049.252782845258</v>
      </c>
      <c r="BM25" s="6">
        <f t="shared" si="56"/>
        <v>60951.715421987523</v>
      </c>
      <c r="BN25" s="6">
        <f t="shared" si="56"/>
        <v>63999.301193086903</v>
      </c>
      <c r="BO25" s="6">
        <f t="shared" si="56"/>
        <v>67199.266252741247</v>
      </c>
      <c r="BP25" s="6">
        <f t="shared" si="56"/>
        <v>70559.229565378308</v>
      </c>
      <c r="BQ25" s="6">
        <f t="shared" si="56"/>
        <v>74087.191043647224</v>
      </c>
      <c r="BR25" s="6">
        <f t="shared" si="56"/>
        <v>77791.550595829583</v>
      </c>
      <c r="BS25" s="6">
        <f t="shared" si="56"/>
        <v>81681.128125621064</v>
      </c>
      <c r="BT25" s="6">
        <f t="shared" si="56"/>
        <v>85765.184531902123</v>
      </c>
      <c r="BU25" s="6">
        <f t="shared" si="56"/>
        <v>90053.443758497233</v>
      </c>
      <c r="BV25" s="6">
        <f t="shared" si="56"/>
        <v>94556.115946422098</v>
      </c>
      <c r="BW25" s="6">
        <f t="shared" si="56"/>
        <v>99283.921743743209</v>
      </c>
      <c r="BX25" s="6">
        <f t="shared" si="56"/>
        <v>104248.11783093038</v>
      </c>
      <c r="BY25" s="6">
        <f t="shared" si="56"/>
        <v>109460.52372247691</v>
      </c>
    </row>
    <row r="26" spans="2:77" x14ac:dyDescent="0.25">
      <c r="B26" s="1" t="s">
        <v>35</v>
      </c>
      <c r="C26" s="5">
        <v>202.8</v>
      </c>
      <c r="D26" s="5">
        <v>203.018</v>
      </c>
      <c r="E26" s="5">
        <v>203.12100000000001</v>
      </c>
      <c r="F26" s="5">
        <v>203</v>
      </c>
      <c r="G26" s="5">
        <v>204</v>
      </c>
      <c r="H26" s="5">
        <v>205.351</v>
      </c>
      <c r="I26" s="5">
        <v>206.464</v>
      </c>
      <c r="J26" s="5">
        <v>207</v>
      </c>
      <c r="K26" s="5">
        <v>207</v>
      </c>
      <c r="L26" s="5">
        <v>207.79900000000001</v>
      </c>
      <c r="M26" s="5"/>
      <c r="N26" s="5"/>
      <c r="O26" s="5"/>
      <c r="P26" s="5"/>
      <c r="Q26" s="5"/>
      <c r="R26" s="5"/>
      <c r="S26" s="5"/>
      <c r="T26" s="5"/>
      <c r="U26" s="5"/>
      <c r="V26" s="5"/>
      <c r="W26" s="5"/>
      <c r="X26" s="5"/>
      <c r="Y26" s="5"/>
      <c r="Z26" s="5">
        <v>203.167</v>
      </c>
      <c r="AA26" s="5">
        <v>203.535</v>
      </c>
      <c r="AB26" s="5">
        <v>205.59100000000001</v>
      </c>
      <c r="AC26" s="5">
        <v>208.423</v>
      </c>
      <c r="AD26" s="5"/>
      <c r="AE26" s="5"/>
      <c r="AF26" s="5"/>
      <c r="AG26" s="5"/>
      <c r="AH26" s="5"/>
      <c r="AI26" s="5"/>
    </row>
    <row r="27" spans="2:77" x14ac:dyDescent="0.25">
      <c r="B27" s="1" t="s">
        <v>36</v>
      </c>
      <c r="C27" s="3">
        <f t="shared" ref="C27:J27" si="57">+C25/C26</f>
        <v>0.36982248520710059</v>
      </c>
      <c r="D27" s="3">
        <f t="shared" si="57"/>
        <v>9.8513432306494994E-2</v>
      </c>
      <c r="E27" s="3">
        <f t="shared" si="57"/>
        <v>0.39385390973853024</v>
      </c>
      <c r="F27" s="3">
        <f t="shared" si="57"/>
        <v>0.73891625615763545</v>
      </c>
      <c r="G27" s="3">
        <f t="shared" si="57"/>
        <v>0.73529411764705888</v>
      </c>
      <c r="H27" s="3">
        <f t="shared" si="57"/>
        <v>-3.3893187761442602</v>
      </c>
      <c r="I27" s="3">
        <f t="shared" si="57"/>
        <v>1.1721171729696218</v>
      </c>
      <c r="J27" s="3">
        <f t="shared" si="57"/>
        <v>1.4251207729468598</v>
      </c>
      <c r="K27" s="3">
        <f>+K25/K26</f>
        <v>1.6763285024154588</v>
      </c>
      <c r="L27" s="3">
        <f t="shared" ref="L27:N27" si="58">+L25/L26</f>
        <v>1.2608337864956038</v>
      </c>
      <c r="M27" s="3" t="e">
        <f t="shared" si="58"/>
        <v>#DIV/0!</v>
      </c>
      <c r="N27" s="3" t="e">
        <f t="shared" si="58"/>
        <v>#DIV/0!</v>
      </c>
      <c r="Z27" s="3">
        <f t="shared" ref="Z27:AI27" si="59">+Z25/Z26</f>
        <v>1.1320736143172858</v>
      </c>
      <c r="AA27" s="3">
        <f t="shared" si="59"/>
        <v>1.5967769671063945</v>
      </c>
      <c r="AB27" s="3">
        <f t="shared" si="59"/>
        <v>8.4196292639269217</v>
      </c>
      <c r="AC27" s="3">
        <f t="shared" si="59"/>
        <v>6.8370573305249422</v>
      </c>
      <c r="AD27" s="3" t="e">
        <f t="shared" si="59"/>
        <v>#DIV/0!</v>
      </c>
      <c r="AE27" s="3" t="e">
        <f t="shared" si="59"/>
        <v>#DIV/0!</v>
      </c>
      <c r="AF27" s="3" t="e">
        <f t="shared" si="59"/>
        <v>#DIV/0!</v>
      </c>
      <c r="AG27" s="3" t="e">
        <f t="shared" si="59"/>
        <v>#DIV/0!</v>
      </c>
      <c r="AH27" s="3" t="e">
        <f t="shared" si="59"/>
        <v>#DIV/0!</v>
      </c>
      <c r="AI27" s="3" t="e">
        <f t="shared" si="59"/>
        <v>#DIV/0!</v>
      </c>
    </row>
    <row r="29" spans="2:77" x14ac:dyDescent="0.25">
      <c r="B29" s="1" t="s">
        <v>74</v>
      </c>
      <c r="H29" s="10"/>
      <c r="I29" s="10"/>
      <c r="J29" s="10"/>
      <c r="K29" s="10">
        <f t="shared" ref="K29:K31" si="60">+K2/G2-1</f>
        <v>0.21800595238095233</v>
      </c>
      <c r="L29" s="10">
        <f>+L2/H2-1</f>
        <v>0.21621621621621623</v>
      </c>
      <c r="AA29" s="10">
        <f t="shared" ref="AA29" si="61">+AA2/Z2-1</f>
        <v>0.2587953091684434</v>
      </c>
      <c r="AB29" s="10">
        <f>+AB2/AA2-1</f>
        <v>0.20728350624603009</v>
      </c>
      <c r="AC29" s="10">
        <f t="shared" ref="AC29:AC31" si="62">+AC2/AB2-1</f>
        <v>0.21168011224131877</v>
      </c>
    </row>
    <row r="30" spans="2:77" x14ac:dyDescent="0.25">
      <c r="B30" s="1" t="s">
        <v>75</v>
      </c>
      <c r="H30" s="10"/>
      <c r="I30" s="10"/>
      <c r="J30" s="10"/>
      <c r="K30" s="10">
        <f t="shared" si="60"/>
        <v>0.27067669172932329</v>
      </c>
      <c r="L30" s="10">
        <f t="shared" ref="L30:L31" si="63">+L3/H3-1</f>
        <v>0.20840950639853739</v>
      </c>
      <c r="AA30" s="10">
        <f t="shared" ref="AA30:AB30" si="64">+AA3/Z3-1</f>
        <v>0.1463571889103803</v>
      </c>
      <c r="AB30" s="10">
        <f t="shared" si="64"/>
        <v>0.29246344206974118</v>
      </c>
      <c r="AC30" s="10">
        <f t="shared" si="62"/>
        <v>0.23324630113141853</v>
      </c>
    </row>
    <row r="31" spans="2:77" x14ac:dyDescent="0.25">
      <c r="B31" s="1" t="s">
        <v>76</v>
      </c>
      <c r="H31" s="10"/>
      <c r="I31" s="10"/>
      <c r="J31" s="10"/>
      <c r="K31" s="10">
        <f t="shared" si="60"/>
        <v>0.31818181818181812</v>
      </c>
      <c r="L31" s="10">
        <f t="shared" si="63"/>
        <v>0.28632478632478642</v>
      </c>
      <c r="AA31" s="10">
        <f t="shared" ref="AA31:AB31" si="65">+AA4/Z4-1</f>
        <v>0.25463743676222594</v>
      </c>
      <c r="AB31" s="10">
        <f t="shared" si="65"/>
        <v>0.30510752688172049</v>
      </c>
      <c r="AC31" s="10">
        <f t="shared" si="62"/>
        <v>0.27806385169927905</v>
      </c>
    </row>
    <row r="32" spans="2:77" x14ac:dyDescent="0.25">
      <c r="B32" s="1" t="s">
        <v>77</v>
      </c>
      <c r="H32" s="10"/>
      <c r="I32" s="10"/>
      <c r="J32" s="10"/>
      <c r="K32" s="10">
        <f t="shared" ref="K32:K33" si="66">+K6/G6-1</f>
        <v>0.24636871508379898</v>
      </c>
      <c r="L32" s="10">
        <f>+L6/H6-1</f>
        <v>0.22440087145969501</v>
      </c>
      <c r="AA32" s="10">
        <f t="shared" ref="AA32" si="67">+AA6/Z6-1</f>
        <v>0.2447767308480131</v>
      </c>
      <c r="AB32" s="10">
        <f>+AB6/AA6-1</f>
        <v>0.26361691624156647</v>
      </c>
      <c r="AC32" s="10">
        <f t="shared" ref="AC32:AI33" si="68">+AC6/AB6-1</f>
        <v>0.22698268003646316</v>
      </c>
      <c r="AD32" s="10">
        <f t="shared" si="68"/>
        <v>0.22999999999999998</v>
      </c>
      <c r="AE32" s="10">
        <f t="shared" si="68"/>
        <v>0.21999999999999997</v>
      </c>
      <c r="AF32" s="10">
        <f t="shared" si="68"/>
        <v>0.19999999999999996</v>
      </c>
      <c r="AG32" s="10">
        <f t="shared" si="68"/>
        <v>0.19999999999999996</v>
      </c>
      <c r="AH32" s="10">
        <f t="shared" si="68"/>
        <v>0.19999999999999996</v>
      </c>
      <c r="AI32" s="10">
        <f t="shared" si="68"/>
        <v>0.19999999999999996</v>
      </c>
    </row>
    <row r="33" spans="2:35" x14ac:dyDescent="0.25">
      <c r="B33" s="1" t="s">
        <v>78</v>
      </c>
      <c r="H33" s="10"/>
      <c r="I33" s="10"/>
      <c r="J33" s="10"/>
      <c r="K33" s="10">
        <f t="shared" si="66"/>
        <v>0.24786324786324787</v>
      </c>
      <c r="L33" s="10">
        <f>+L7/H7-1</f>
        <v>0.23012552301255229</v>
      </c>
      <c r="AA33" s="10">
        <f t="shared" ref="AA33:AB33" si="69">+AA7/Z7-1</f>
        <v>0.17800289435600569</v>
      </c>
      <c r="AB33" s="10">
        <f t="shared" si="69"/>
        <v>0.22972972972972983</v>
      </c>
      <c r="AC33" s="10">
        <f t="shared" si="68"/>
        <v>0.22277722277722267</v>
      </c>
      <c r="AD33" s="10">
        <f t="shared" si="68"/>
        <v>0.19999999999999996</v>
      </c>
      <c r="AE33" s="10">
        <f t="shared" si="68"/>
        <v>0.19999999999999996</v>
      </c>
      <c r="AF33" s="10">
        <f t="shared" si="68"/>
        <v>0.19999999999999996</v>
      </c>
      <c r="AG33" s="10">
        <f t="shared" si="68"/>
        <v>0.19999999999999996</v>
      </c>
      <c r="AH33" s="10">
        <f t="shared" si="68"/>
        <v>0.19999999999999996</v>
      </c>
      <c r="AI33" s="10">
        <f t="shared" si="68"/>
        <v>0.19999999999999996</v>
      </c>
    </row>
    <row r="34" spans="2:35" x14ac:dyDescent="0.25">
      <c r="B34" s="1" t="s">
        <v>25</v>
      </c>
      <c r="G34" s="10">
        <f t="shared" ref="G34:K34" si="70">+G16/C16-1</f>
        <v>0.22288261515601793</v>
      </c>
      <c r="H34" s="10">
        <f t="shared" si="70"/>
        <v>0.15235457063711921</v>
      </c>
      <c r="I34" s="10">
        <f t="shared" si="70"/>
        <v>0.14634146341463405</v>
      </c>
      <c r="J34" s="10">
        <f t="shared" si="70"/>
        <v>0.17313019390581719</v>
      </c>
      <c r="K34" s="10">
        <f t="shared" si="70"/>
        <v>0.12150668286755772</v>
      </c>
      <c r="L34" s="10">
        <f>+L16/H16-1</f>
        <v>0.15384615384615374</v>
      </c>
      <c r="AA34" s="10">
        <f t="shared" ref="AA34" si="71">+AA16/Z16-1</f>
        <v>0.22774869109947637</v>
      </c>
      <c r="AB34" s="10">
        <f>+AB16/AA16-1</f>
        <v>0.17306325515280729</v>
      </c>
      <c r="AC34" s="10">
        <f t="shared" ref="AC34:AI36" si="72">+AC16/AB16-1</f>
        <v>0.1675249924265374</v>
      </c>
      <c r="AD34" s="10">
        <f t="shared" si="72"/>
        <v>0.14774839128178519</v>
      </c>
      <c r="AE34" s="10">
        <f t="shared" si="72"/>
        <v>0.10251678547625875</v>
      </c>
      <c r="AF34" s="10">
        <f t="shared" si="72"/>
        <v>0.19617721281700917</v>
      </c>
      <c r="AG34" s="10">
        <f t="shared" si="72"/>
        <v>0.19672426725690761</v>
      </c>
      <c r="AH34" s="10">
        <f t="shared" si="72"/>
        <v>0.19719431939876508</v>
      </c>
      <c r="AI34" s="10">
        <f t="shared" si="72"/>
        <v>0.1975978647996679</v>
      </c>
    </row>
    <row r="35" spans="2:35" x14ac:dyDescent="0.25">
      <c r="B35" s="1" t="s">
        <v>26</v>
      </c>
      <c r="G35" s="10">
        <f t="shared" ref="G35:L35" si="73">+G17/C17-1</f>
        <v>0.18840579710144922</v>
      </c>
      <c r="H35" s="10">
        <f t="shared" si="73"/>
        <v>0.17342342342342332</v>
      </c>
      <c r="I35" s="10">
        <f t="shared" si="73"/>
        <v>0.20394736842105265</v>
      </c>
      <c r="J35" s="10">
        <f t="shared" si="73"/>
        <v>0.23788546255506615</v>
      </c>
      <c r="K35" s="10">
        <f t="shared" si="73"/>
        <v>0.23170731707317072</v>
      </c>
      <c r="L35" s="10">
        <f t="shared" si="73"/>
        <v>0.23416506717850294</v>
      </c>
      <c r="AA35" s="10">
        <f t="shared" ref="AA35:AB35" si="74">+AA17/Z17-1</f>
        <v>0.26556907659269857</v>
      </c>
      <c r="AB35" s="10">
        <f t="shared" si="74"/>
        <v>0.20135746606334837</v>
      </c>
      <c r="AC35" s="10">
        <f t="shared" si="72"/>
        <v>0.19726930320150649</v>
      </c>
      <c r="AD35" s="10">
        <f t="shared" si="72"/>
        <v>1.5017302398740995E-3</v>
      </c>
      <c r="AE35" s="10">
        <f t="shared" si="72"/>
        <v>2.1278706546429493E-2</v>
      </c>
      <c r="AF35" s="10">
        <f t="shared" si="72"/>
        <v>4.6655061214883053E-2</v>
      </c>
      <c r="AG35" s="10">
        <f t="shared" si="72"/>
        <v>0.11124396245284296</v>
      </c>
      <c r="AH35" s="10">
        <f t="shared" si="72"/>
        <v>0.19719431939876508</v>
      </c>
      <c r="AI35" s="10">
        <f t="shared" si="72"/>
        <v>0.1975978647996679</v>
      </c>
    </row>
    <row r="36" spans="2:35" x14ac:dyDescent="0.25">
      <c r="B36" s="1" t="s">
        <v>27</v>
      </c>
      <c r="G36" s="10">
        <f t="shared" ref="G36:L36" si="75">+G18/C18-1</f>
        <v>0.1117318435754191</v>
      </c>
      <c r="H36" s="10">
        <f t="shared" si="75"/>
        <v>0.19428571428571439</v>
      </c>
      <c r="I36" s="10">
        <f t="shared" si="75"/>
        <v>0.1390374331550801</v>
      </c>
      <c r="J36" s="10">
        <f t="shared" si="75"/>
        <v>0.24742268041237114</v>
      </c>
      <c r="K36" s="10">
        <f t="shared" si="75"/>
        <v>0.11557788944723613</v>
      </c>
      <c r="L36" s="10">
        <f t="shared" si="75"/>
        <v>0.11004784688995217</v>
      </c>
      <c r="AA36" s="10">
        <f t="shared" ref="AA36:AB36" si="76">+AA18/Z18-1</f>
        <v>0.23115577889447225</v>
      </c>
      <c r="AB36" s="10">
        <f t="shared" si="76"/>
        <v>0.17414965986394559</v>
      </c>
      <c r="AC36" s="10">
        <f t="shared" si="72"/>
        <v>8.4588644264194768E-2</v>
      </c>
      <c r="AD36" s="10">
        <f t="shared" si="72"/>
        <v>0.28887596153846151</v>
      </c>
      <c r="AE36" s="10">
        <f t="shared" si="72"/>
        <v>0.14539243824478021</v>
      </c>
      <c r="AF36" s="10">
        <f t="shared" si="72"/>
        <v>0.12581384735718504</v>
      </c>
      <c r="AG36" s="10">
        <f t="shared" si="72"/>
        <v>4.7133733849794579E-2</v>
      </c>
      <c r="AH36" s="10">
        <f t="shared" si="72"/>
        <v>0.19719431939876508</v>
      </c>
      <c r="AI36" s="10">
        <f t="shared" si="72"/>
        <v>0.1975978647996679</v>
      </c>
    </row>
    <row r="37" spans="2:35" x14ac:dyDescent="0.25">
      <c r="B37" s="2" t="s">
        <v>37</v>
      </c>
      <c r="C37" s="12"/>
      <c r="D37" s="12"/>
      <c r="E37" s="12"/>
      <c r="F37" s="12"/>
      <c r="G37" s="12">
        <f t="shared" ref="G37:L37" si="77">+G11/C11-1</f>
        <v>0.21718931475029035</v>
      </c>
      <c r="H37" s="12">
        <f t="shared" si="77"/>
        <v>0.22716894977168955</v>
      </c>
      <c r="I37" s="12">
        <f t="shared" si="77"/>
        <v>0.24959038776624798</v>
      </c>
      <c r="J37" s="12">
        <f t="shared" si="77"/>
        <v>0.25618556701030926</v>
      </c>
      <c r="K37" s="12">
        <f t="shared" si="77"/>
        <v>0.24188931297709915</v>
      </c>
      <c r="L37" s="12">
        <f t="shared" si="77"/>
        <v>0.22186046511627899</v>
      </c>
      <c r="R37" s="12">
        <f t="shared" ref="R37" si="78">+R11/Q11-1</f>
        <v>0.74230611407468206</v>
      </c>
      <c r="S37" s="12">
        <f t="shared" ref="S37" si="79">+S11/R11-1</f>
        <v>0.60763071125765422</v>
      </c>
      <c r="T37" s="12">
        <f t="shared" ref="T37" si="80">+T11/S11-1</f>
        <v>0.47304424260181643</v>
      </c>
      <c r="U37" s="12">
        <f t="shared" ref="U37" si="81">+U11/T11-1</f>
        <v>0.38339134758826465</v>
      </c>
      <c r="V37" s="12">
        <f t="shared" ref="V37" si="82">+V11/U11-1</f>
        <v>0.3792235801581596</v>
      </c>
      <c r="W37" s="12">
        <f t="shared" ref="W37" si="83">+W11/V11-1</f>
        <v>0.35981235340109463</v>
      </c>
      <c r="X37" s="12">
        <f t="shared" ref="X37" si="84">+X11/W11-1</f>
        <v>0.32628028212204829</v>
      </c>
      <c r="Y37" s="12">
        <f t="shared" ref="Y37" si="85">+Y11/X11-1</f>
        <v>0.30606936416184971</v>
      </c>
      <c r="Z37" s="12">
        <f t="shared" ref="Z37" si="86">+Z11/Y11-1</f>
        <v>0.30471343217526003</v>
      </c>
      <c r="AA37" s="12">
        <f t="shared" ref="AA37:AI37" si="87">+AA11/Z11-1</f>
        <v>0.22879918588873815</v>
      </c>
      <c r="AB37" s="12">
        <f t="shared" si="87"/>
        <v>0.23823326432022074</v>
      </c>
      <c r="AC37" s="17">
        <f t="shared" si="87"/>
        <v>0.22438970014491133</v>
      </c>
      <c r="AD37" s="17">
        <f t="shared" si="87"/>
        <v>0.22034868900218485</v>
      </c>
      <c r="AE37" s="17">
        <f t="shared" si="87"/>
        <v>0.21276846402388472</v>
      </c>
      <c r="AF37" s="17">
        <f t="shared" si="87"/>
        <v>0.19617721281700917</v>
      </c>
      <c r="AG37" s="17">
        <f t="shared" si="87"/>
        <v>0.19672426725690784</v>
      </c>
      <c r="AH37" s="17">
        <f t="shared" si="87"/>
        <v>0.19719431939876508</v>
      </c>
      <c r="AI37" s="17">
        <f t="shared" si="87"/>
        <v>0.1975978647996679</v>
      </c>
    </row>
    <row r="38" spans="2:35" x14ac:dyDescent="0.25">
      <c r="C38" s="10"/>
      <c r="D38" s="10"/>
      <c r="E38" s="10"/>
      <c r="F38" s="10"/>
      <c r="G38" s="10"/>
      <c r="H38" s="10"/>
      <c r="I38" s="10"/>
      <c r="J38" s="10"/>
      <c r="K38" s="10"/>
      <c r="L38" s="10"/>
      <c r="Z38" s="4"/>
      <c r="AA38" s="4"/>
      <c r="AB38" s="4"/>
      <c r="AC38" s="4"/>
      <c r="AD38" s="4"/>
      <c r="AE38" s="4"/>
      <c r="AF38" s="4"/>
      <c r="AG38" s="4"/>
      <c r="AH38" s="4"/>
      <c r="AI38" s="4"/>
    </row>
    <row r="39" spans="2:35" x14ac:dyDescent="0.25">
      <c r="B39" s="1" t="s">
        <v>38</v>
      </c>
      <c r="C39" s="10"/>
      <c r="D39" s="10"/>
      <c r="E39" s="10">
        <f t="shared" ref="E39:L39" si="88">+E15/E11</f>
        <v>0.78154014199890776</v>
      </c>
      <c r="F39" s="10">
        <f t="shared" si="88"/>
        <v>0.78608247422680411</v>
      </c>
      <c r="G39" s="10">
        <f t="shared" si="88"/>
        <v>0.79103053435114501</v>
      </c>
      <c r="H39" s="10">
        <f t="shared" si="88"/>
        <v>0.78093023255813954</v>
      </c>
      <c r="I39" s="10">
        <f t="shared" si="88"/>
        <v>0.78321678321678323</v>
      </c>
      <c r="J39" s="10">
        <f t="shared" si="88"/>
        <v>0.78826425933524824</v>
      </c>
      <c r="K39" s="10">
        <f t="shared" si="88"/>
        <v>0.80023050326546297</v>
      </c>
      <c r="L39" s="10">
        <f t="shared" si="88"/>
        <v>0.78987438142367716</v>
      </c>
      <c r="Q39" s="10">
        <f t="shared" ref="Q39:Y39" si="89">+Q15/Q11</f>
        <v>0.57324579400902742</v>
      </c>
      <c r="R39" s="10">
        <f t="shared" si="89"/>
        <v>0.63424399434762124</v>
      </c>
      <c r="S39" s="10">
        <f t="shared" si="89"/>
        <v>0.63551128039847637</v>
      </c>
      <c r="T39" s="10">
        <f t="shared" si="89"/>
        <v>0.67240179015415213</v>
      </c>
      <c r="U39" s="10">
        <f t="shared" si="89"/>
        <v>0.71315600287562908</v>
      </c>
      <c r="V39" s="10">
        <f t="shared" si="89"/>
        <v>0.73943184779775861</v>
      </c>
      <c r="W39" s="10">
        <f t="shared" si="89"/>
        <v>0.76130788101809266</v>
      </c>
      <c r="X39" s="10">
        <f t="shared" si="89"/>
        <v>0.76994219653179186</v>
      </c>
      <c r="Y39" s="10">
        <f t="shared" si="89"/>
        <v>0.78158884709006415</v>
      </c>
      <c r="Z39" s="10">
        <f t="shared" ref="Z39:AI39" si="90">+Z15/Z11</f>
        <v>0.77052238805970152</v>
      </c>
      <c r="AA39" s="10">
        <f t="shared" si="90"/>
        <v>0.78288474810213937</v>
      </c>
      <c r="AB39" s="10">
        <f t="shared" si="90"/>
        <v>0.78586556682644071</v>
      </c>
      <c r="AC39" s="10">
        <f t="shared" si="90"/>
        <v>0.79178805535324104</v>
      </c>
      <c r="AD39" s="10">
        <f t="shared" si="90"/>
        <v>0.79499999999999993</v>
      </c>
      <c r="AE39" s="10">
        <f t="shared" si="90"/>
        <v>0.79499999999999993</v>
      </c>
      <c r="AF39" s="10">
        <f t="shared" si="90"/>
        <v>0.79500000000000004</v>
      </c>
      <c r="AG39" s="10">
        <f t="shared" si="90"/>
        <v>0.79499999999999993</v>
      </c>
      <c r="AH39" s="10">
        <f t="shared" si="90"/>
        <v>0.79499999999999993</v>
      </c>
      <c r="AI39" s="10">
        <f t="shared" si="90"/>
        <v>0.79499999999999993</v>
      </c>
    </row>
    <row r="40" spans="2:35" x14ac:dyDescent="0.25">
      <c r="B40" s="1" t="s">
        <v>40</v>
      </c>
      <c r="C40" s="10"/>
      <c r="D40" s="10"/>
      <c r="E40" s="10">
        <f t="shared" ref="E40:L40" si="91">+E20/E11</f>
        <v>4.9699617695248499E-2</v>
      </c>
      <c r="F40" s="10">
        <f t="shared" si="91"/>
        <v>7.9896907216494839E-2</v>
      </c>
      <c r="G40" s="10">
        <f t="shared" si="91"/>
        <v>6.8702290076335881E-2</v>
      </c>
      <c r="H40" s="10">
        <f t="shared" si="91"/>
        <v>5.4418604651162793E-2</v>
      </c>
      <c r="I40" s="10">
        <f t="shared" si="91"/>
        <v>0.10096153846153846</v>
      </c>
      <c r="J40" s="10">
        <f t="shared" si="91"/>
        <v>0.1107919573245794</v>
      </c>
      <c r="K40" s="10">
        <f t="shared" si="91"/>
        <v>0.12754514022281982</v>
      </c>
      <c r="L40" s="10">
        <f t="shared" si="91"/>
        <v>9.1358964598401218E-2</v>
      </c>
      <c r="Q40" s="10">
        <f t="shared" ref="Q40:Y40" si="92">+Q20/Q11</f>
        <v>-0.154288059089044</v>
      </c>
      <c r="R40" s="10">
        <f t="shared" si="92"/>
        <v>-0.15638247762600088</v>
      </c>
      <c r="S40" s="10">
        <f t="shared" si="92"/>
        <v>-0.2223849985350132</v>
      </c>
      <c r="T40" s="10">
        <f t="shared" si="92"/>
        <v>-0.16539035305817998</v>
      </c>
      <c r="U40" s="10">
        <f t="shared" si="92"/>
        <v>-0.27476635514018694</v>
      </c>
      <c r="V40" s="10">
        <f t="shared" si="92"/>
        <v>-3.3567891581965124E-2</v>
      </c>
      <c r="W40" s="10">
        <f t="shared" si="92"/>
        <v>-1.6291015026065534E-2</v>
      </c>
      <c r="X40" s="10">
        <f t="shared" si="92"/>
        <v>1.2138728323699421E-2</v>
      </c>
      <c r="Y40" s="10">
        <f t="shared" si="92"/>
        <v>4.4036291214870543E-2</v>
      </c>
      <c r="Z40" s="10">
        <f t="shared" ref="Z40:AI40" si="93">+Z20/Z11</f>
        <v>4.3588873812754413E-2</v>
      </c>
      <c r="AA40" s="10">
        <f t="shared" si="93"/>
        <v>4.8999309868875088E-2</v>
      </c>
      <c r="AB40" s="10">
        <f t="shared" si="93"/>
        <v>8.4940363393155721E-2</v>
      </c>
      <c r="AC40" s="10">
        <f t="shared" si="93"/>
        <v>0.12418062636562273</v>
      </c>
      <c r="AD40" s="10">
        <f t="shared" si="93"/>
        <v>0.18499999999999991</v>
      </c>
      <c r="AE40" s="10">
        <f t="shared" si="93"/>
        <v>0.24999999999999992</v>
      </c>
      <c r="AF40" s="10">
        <f t="shared" si="93"/>
        <v>0.27500000000000008</v>
      </c>
      <c r="AG40" s="10">
        <f t="shared" si="93"/>
        <v>0.29499999999999982</v>
      </c>
      <c r="AH40" s="10">
        <f t="shared" si="93"/>
        <v>0.29499999999999993</v>
      </c>
      <c r="AI40" s="10">
        <f t="shared" si="93"/>
        <v>0.29499999999999993</v>
      </c>
    </row>
    <row r="41" spans="2:35" x14ac:dyDescent="0.25">
      <c r="B41" s="1" t="s">
        <v>39</v>
      </c>
      <c r="C41" s="10"/>
      <c r="D41" s="10"/>
      <c r="E41" s="10">
        <f t="shared" ref="E41:L41" si="94">+E25/E11</f>
        <v>4.3691971600218461E-2</v>
      </c>
      <c r="F41" s="10">
        <f t="shared" si="94"/>
        <v>7.7319587628865982E-2</v>
      </c>
      <c r="G41" s="10">
        <f t="shared" si="94"/>
        <v>7.15648854961832E-2</v>
      </c>
      <c r="H41" s="10">
        <f t="shared" si="94"/>
        <v>-0.32372093023255816</v>
      </c>
      <c r="I41" s="10">
        <f t="shared" si="94"/>
        <v>0.10576923076923077</v>
      </c>
      <c r="J41" s="10">
        <f t="shared" si="94"/>
        <v>0.12105047189167009</v>
      </c>
      <c r="K41" s="10">
        <f t="shared" si="94"/>
        <v>0.13330772185939302</v>
      </c>
      <c r="L41" s="10">
        <f t="shared" si="94"/>
        <v>9.9733536353254659E-2</v>
      </c>
      <c r="Z41" s="10">
        <f t="shared" ref="Z41:AI41" si="95">+Z25/Z11</f>
        <v>3.9009497964721848E-2</v>
      </c>
      <c r="AA41" s="10">
        <f t="shared" si="95"/>
        <v>4.4858523119392688E-2</v>
      </c>
      <c r="AB41" s="10">
        <f t="shared" si="95"/>
        <v>0.19295507747185375</v>
      </c>
      <c r="AC41" s="10">
        <f t="shared" si="95"/>
        <v>0.12973415877640204</v>
      </c>
      <c r="AD41" s="10">
        <f t="shared" si="95"/>
        <v>0.22026825002555142</v>
      </c>
      <c r="AE41" s="10">
        <f t="shared" si="95"/>
        <v>0.28013740411014304</v>
      </c>
      <c r="AF41" s="10">
        <f t="shared" si="95"/>
        <v>0.3140865600481601</v>
      </c>
      <c r="AG41" s="10">
        <f t="shared" si="95"/>
        <v>0.34506896801269454</v>
      </c>
      <c r="AH41" s="10">
        <f t="shared" si="95"/>
        <v>0.36077332631764464</v>
      </c>
      <c r="AI41" s="10">
        <f t="shared" si="95"/>
        <v>0.37539741936084053</v>
      </c>
    </row>
    <row r="43" spans="2:35" x14ac:dyDescent="0.25">
      <c r="B43" s="1" t="s">
        <v>41</v>
      </c>
      <c r="C43" s="5">
        <v>863</v>
      </c>
      <c r="D43" s="5">
        <f>1296-C43</f>
        <v>433</v>
      </c>
      <c r="E43" s="5">
        <f>1561-D43-C43</f>
        <v>265</v>
      </c>
      <c r="F43" s="5">
        <v>1162</v>
      </c>
      <c r="G43" s="5">
        <v>902</v>
      </c>
      <c r="H43" s="5">
        <f>1482-G43</f>
        <v>580</v>
      </c>
      <c r="I43" s="5">
        <f>1793-G43-H43</f>
        <v>311</v>
      </c>
      <c r="J43" s="5">
        <v>1605</v>
      </c>
      <c r="K43" s="5">
        <v>1341</v>
      </c>
      <c r="L43" s="5">
        <f>1961-K43</f>
        <v>620</v>
      </c>
      <c r="M43" s="5"/>
      <c r="N43" s="5"/>
      <c r="O43" s="5"/>
      <c r="P43" s="5"/>
      <c r="Q43" s="19">
        <v>48.8</v>
      </c>
      <c r="R43" s="19">
        <v>81.7</v>
      </c>
      <c r="S43" s="19">
        <v>140.9</v>
      </c>
      <c r="T43" s="19">
        <v>317.8</v>
      </c>
      <c r="U43" s="19">
        <v>159.1</v>
      </c>
      <c r="V43" s="19">
        <v>642.9</v>
      </c>
      <c r="W43" s="19">
        <v>811.1</v>
      </c>
      <c r="X43" s="19">
        <v>1236</v>
      </c>
      <c r="Y43" s="19">
        <v>1786</v>
      </c>
      <c r="Z43" s="5">
        <v>2191</v>
      </c>
      <c r="AA43" s="5">
        <v>2723</v>
      </c>
      <c r="AB43" s="5">
        <v>3398</v>
      </c>
      <c r="AC43" s="1">
        <v>4267</v>
      </c>
    </row>
    <row r="44" spans="2:35" x14ac:dyDescent="0.25">
      <c r="B44" s="1" t="s">
        <v>42</v>
      </c>
      <c r="C44" s="5">
        <v>93</v>
      </c>
      <c r="D44" s="5">
        <f>244-C44</f>
        <v>151</v>
      </c>
      <c r="E44" s="5">
        <f>406-C44-D44</f>
        <v>162</v>
      </c>
      <c r="F44" s="5">
        <v>144</v>
      </c>
      <c r="G44" s="5">
        <v>165</v>
      </c>
      <c r="H44" s="5">
        <f>297-G44</f>
        <v>132</v>
      </c>
      <c r="I44" s="5">
        <f>433-G44-H44</f>
        <v>136</v>
      </c>
      <c r="J44" s="5">
        <v>261</v>
      </c>
      <c r="K44" s="5">
        <v>135</v>
      </c>
      <c r="L44" s="5">
        <f>397-K44</f>
        <v>262</v>
      </c>
      <c r="M44" s="5"/>
      <c r="N44" s="5"/>
      <c r="O44" s="5"/>
      <c r="P44" s="5"/>
      <c r="Q44" s="21" t="s">
        <v>87</v>
      </c>
      <c r="R44" s="21" t="s">
        <v>87</v>
      </c>
      <c r="S44" s="21">
        <v>54.4</v>
      </c>
      <c r="T44" s="21">
        <v>87.5</v>
      </c>
      <c r="U44" s="21">
        <v>105.6</v>
      </c>
      <c r="V44" s="21">
        <v>150.5</v>
      </c>
      <c r="W44" s="21">
        <v>224.5</v>
      </c>
      <c r="X44" s="21">
        <v>265</v>
      </c>
      <c r="Y44" s="21">
        <v>419</v>
      </c>
      <c r="Z44" s="5">
        <v>392</v>
      </c>
      <c r="AA44" s="5">
        <v>550</v>
      </c>
      <c r="AB44" s="5">
        <v>694</v>
      </c>
      <c r="AC44" s="1">
        <v>852</v>
      </c>
    </row>
    <row r="45" spans="2:35" x14ac:dyDescent="0.25">
      <c r="B45" s="1" t="s">
        <v>43</v>
      </c>
      <c r="C45" s="5">
        <v>325</v>
      </c>
      <c r="D45" s="5">
        <f>677-C45</f>
        <v>352</v>
      </c>
      <c r="E45" s="5">
        <f>1038-C45-D45</f>
        <v>361</v>
      </c>
      <c r="F45" s="5">
        <v>363</v>
      </c>
      <c r="G45" s="5">
        <v>381</v>
      </c>
      <c r="H45" s="5">
        <f>778-G45</f>
        <v>397</v>
      </c>
      <c r="I45" s="5">
        <f>1191-G45-H45</f>
        <v>413</v>
      </c>
      <c r="J45" s="5">
        <v>413</v>
      </c>
      <c r="K45" s="5">
        <v>422</v>
      </c>
      <c r="L45" s="5">
        <f>866-K45</f>
        <v>444</v>
      </c>
      <c r="M45" s="5"/>
      <c r="N45" s="5"/>
      <c r="O45" s="5"/>
      <c r="P45" s="5"/>
      <c r="Q45" s="5"/>
      <c r="R45" s="5"/>
      <c r="S45" s="5"/>
      <c r="T45" s="5"/>
      <c r="U45" s="5"/>
      <c r="V45" s="5"/>
      <c r="W45" s="5"/>
      <c r="X45" s="5"/>
      <c r="Y45" s="5"/>
      <c r="Z45" s="5">
        <v>1131</v>
      </c>
      <c r="AA45" s="5">
        <v>1401</v>
      </c>
      <c r="AB45" s="5">
        <v>1604</v>
      </c>
      <c r="AC45" s="1">
        <v>1746</v>
      </c>
    </row>
    <row r="46" spans="2:35" x14ac:dyDescent="0.25">
      <c r="B46" s="2" t="s">
        <v>44</v>
      </c>
      <c r="C46" s="6">
        <f t="shared" ref="C46:K46" si="96">+C43-C44</f>
        <v>770</v>
      </c>
      <c r="D46" s="6">
        <f t="shared" si="96"/>
        <v>282</v>
      </c>
      <c r="E46" s="6">
        <f t="shared" si="96"/>
        <v>103</v>
      </c>
      <c r="F46" s="6">
        <f t="shared" si="96"/>
        <v>1018</v>
      </c>
      <c r="G46" s="6">
        <f t="shared" si="96"/>
        <v>737</v>
      </c>
      <c r="H46" s="6">
        <f t="shared" si="96"/>
        <v>448</v>
      </c>
      <c r="I46" s="6">
        <f t="shared" si="96"/>
        <v>175</v>
      </c>
      <c r="J46" s="6">
        <f t="shared" si="96"/>
        <v>1344</v>
      </c>
      <c r="K46" s="6">
        <f t="shared" si="96"/>
        <v>1206</v>
      </c>
      <c r="L46" s="6">
        <f>+L43-L44</f>
        <v>358</v>
      </c>
      <c r="M46" s="6">
        <f t="shared" ref="M46:N46" si="97">+M43-M44</f>
        <v>0</v>
      </c>
      <c r="N46" s="6">
        <f t="shared" si="97"/>
        <v>0</v>
      </c>
      <c r="O46" s="6"/>
      <c r="P46" s="6"/>
      <c r="Q46" s="6" t="e">
        <f t="shared" ref="Q46:AB46" si="98">+Q43-Q44</f>
        <v>#VALUE!</v>
      </c>
      <c r="R46" s="6" t="e">
        <f t="shared" si="98"/>
        <v>#VALUE!</v>
      </c>
      <c r="S46" s="6">
        <f t="shared" si="98"/>
        <v>86.5</v>
      </c>
      <c r="T46" s="6">
        <f t="shared" si="98"/>
        <v>230.3</v>
      </c>
      <c r="U46" s="6">
        <f t="shared" si="98"/>
        <v>53.5</v>
      </c>
      <c r="V46" s="6">
        <f t="shared" si="98"/>
        <v>492.4</v>
      </c>
      <c r="W46" s="6">
        <f t="shared" si="98"/>
        <v>586.6</v>
      </c>
      <c r="X46" s="6">
        <f t="shared" si="98"/>
        <v>971</v>
      </c>
      <c r="Y46" s="6">
        <f t="shared" si="98"/>
        <v>1367</v>
      </c>
      <c r="Z46" s="6">
        <f t="shared" si="98"/>
        <v>1799</v>
      </c>
      <c r="AA46" s="6">
        <f t="shared" si="98"/>
        <v>2173</v>
      </c>
      <c r="AB46" s="6">
        <f t="shared" si="98"/>
        <v>2704</v>
      </c>
      <c r="AC46" s="6">
        <f>+AC43-AC44</f>
        <v>3415</v>
      </c>
      <c r="AD46" s="2">
        <f t="shared" ref="AD46" si="99">+AD43-AD44-AD45</f>
        <v>0</v>
      </c>
      <c r="AE46" s="2">
        <f t="shared" ref="AE46" si="100">+AE43-AE44-AE45</f>
        <v>0</v>
      </c>
      <c r="AF46" s="2">
        <f t="shared" ref="AF46" si="101">+AF43-AF44-AF45</f>
        <v>0</v>
      </c>
      <c r="AG46" s="2">
        <f t="shared" ref="AG46" si="102">+AG43-AG44-AG45</f>
        <v>0</v>
      </c>
      <c r="AH46" s="2">
        <f t="shared" ref="AH46" si="103">+AH43-AH44-AH45</f>
        <v>0</v>
      </c>
      <c r="AI46" s="2">
        <f t="shared" ref="AI46" si="104">+AI43-AI44-AI45</f>
        <v>0</v>
      </c>
    </row>
    <row r="47" spans="2:35" x14ac:dyDescent="0.25">
      <c r="B47" s="1" t="s">
        <v>71</v>
      </c>
      <c r="C47" s="5"/>
      <c r="D47" s="5"/>
      <c r="E47" s="5"/>
      <c r="F47" s="5">
        <f t="shared" ref="F47:K47" si="105">+SUM(C46:F46)</f>
        <v>2173</v>
      </c>
      <c r="G47" s="5">
        <f t="shared" si="105"/>
        <v>2140</v>
      </c>
      <c r="H47" s="5">
        <f t="shared" si="105"/>
        <v>2306</v>
      </c>
      <c r="I47" s="5">
        <f t="shared" si="105"/>
        <v>2378</v>
      </c>
      <c r="J47" s="5">
        <f t="shared" si="105"/>
        <v>2704</v>
      </c>
      <c r="K47" s="5">
        <f t="shared" si="105"/>
        <v>3173</v>
      </c>
      <c r="L47" s="5">
        <f>+SUM(I46:L46)</f>
        <v>3083</v>
      </c>
      <c r="M47" s="6"/>
      <c r="N47" s="6"/>
      <c r="O47" s="6"/>
      <c r="P47" s="6"/>
      <c r="Q47" s="6"/>
      <c r="R47" s="6"/>
      <c r="S47" s="6"/>
      <c r="T47" s="6"/>
      <c r="U47" s="6"/>
      <c r="V47" s="6"/>
      <c r="W47" s="6"/>
      <c r="X47" s="6"/>
      <c r="Y47" s="6"/>
      <c r="Z47" s="6"/>
      <c r="AA47" s="6"/>
      <c r="AB47" s="6"/>
      <c r="AC47" s="2"/>
      <c r="AD47" s="2"/>
      <c r="AE47" s="2"/>
      <c r="AF47" s="2"/>
      <c r="AG47" s="2"/>
      <c r="AH47" s="2"/>
      <c r="AI47" s="2"/>
    </row>
    <row r="48" spans="2:35" x14ac:dyDescent="0.25">
      <c r="B48" s="11" t="s">
        <v>72</v>
      </c>
      <c r="J48" s="10">
        <f t="shared" ref="J48:K48" si="106">+J47/G47-1</f>
        <v>0.26355140186915893</v>
      </c>
      <c r="K48" s="10">
        <f t="shared" si="106"/>
        <v>0.37597571552471809</v>
      </c>
      <c r="L48" s="10">
        <f>+L47/I47-1</f>
        <v>0.29646761984861225</v>
      </c>
      <c r="AA48" s="10">
        <f t="shared" ref="AA48" si="107">+AA46/Z46-1</f>
        <v>0.20789327404113389</v>
      </c>
      <c r="AB48" s="10">
        <f>+AB46/AA46-1</f>
        <v>0.24436263230556832</v>
      </c>
      <c r="AC48" s="10">
        <f t="shared" ref="AC48" si="108">+AC46/AB46-1</f>
        <v>0.26294378698224863</v>
      </c>
    </row>
    <row r="50" spans="1:35" x14ac:dyDescent="0.25">
      <c r="B50" s="1" t="s">
        <v>46</v>
      </c>
      <c r="H50" s="5">
        <f>+H51+H52+H57-H72</f>
        <v>6592</v>
      </c>
      <c r="I50" s="5"/>
      <c r="J50" s="5"/>
      <c r="K50" s="5"/>
      <c r="L50" s="5">
        <f>+L51+L52+L57-L72</f>
        <v>7397</v>
      </c>
      <c r="AC50" s="5">
        <f>+main!J6-main!J7</f>
        <v>8384</v>
      </c>
      <c r="AD50" s="5">
        <f>+AC50+AD25</f>
        <v>11336.543906499999</v>
      </c>
      <c r="AE50" s="5">
        <f t="shared" ref="AE50:AI50" si="109">+AD50+AE25</f>
        <v>15890.548438295247</v>
      </c>
      <c r="AF50" s="5">
        <f t="shared" si="109"/>
        <v>21998.101326512297</v>
      </c>
      <c r="AG50" s="5">
        <f t="shared" si="109"/>
        <v>30028.144608744533</v>
      </c>
      <c r="AH50" s="5">
        <f t="shared" si="109"/>
        <v>40079.185716334825</v>
      </c>
      <c r="AI50" s="5">
        <f t="shared" si="109"/>
        <v>52604.220031905941</v>
      </c>
    </row>
    <row r="51" spans="1:35" x14ac:dyDescent="0.25">
      <c r="B51" s="1" t="s">
        <v>47</v>
      </c>
      <c r="H51" s="5">
        <v>1897</v>
      </c>
      <c r="I51" s="5"/>
      <c r="J51" s="5"/>
      <c r="K51" s="5"/>
      <c r="L51" s="5">
        <v>2159</v>
      </c>
    </row>
    <row r="52" spans="1:35" x14ac:dyDescent="0.25">
      <c r="B52" s="1" t="s">
        <v>48</v>
      </c>
      <c r="H52" s="5">
        <v>2980</v>
      </c>
      <c r="I52" s="5"/>
      <c r="J52" s="5"/>
      <c r="K52" s="5"/>
      <c r="L52" s="5">
        <v>3254</v>
      </c>
    </row>
    <row r="53" spans="1:35" x14ac:dyDescent="0.25">
      <c r="B53" s="1" t="s">
        <v>49</v>
      </c>
      <c r="H53" s="5">
        <v>2036</v>
      </c>
      <c r="I53" s="5"/>
      <c r="J53" s="5"/>
      <c r="K53" s="5"/>
      <c r="L53" s="5">
        <v>1518</v>
      </c>
    </row>
    <row r="54" spans="1:35" x14ac:dyDescent="0.25">
      <c r="B54" s="1" t="s">
        <v>50</v>
      </c>
      <c r="H54" s="5">
        <v>461</v>
      </c>
      <c r="I54" s="5"/>
      <c r="J54" s="5"/>
      <c r="K54" s="5"/>
      <c r="L54" s="5">
        <v>482</v>
      </c>
    </row>
    <row r="55" spans="1:35" x14ac:dyDescent="0.25">
      <c r="B55" s="1" t="s">
        <v>51</v>
      </c>
      <c r="H55" s="5">
        <v>403</v>
      </c>
      <c r="I55" s="5"/>
      <c r="J55" s="5"/>
      <c r="K55" s="5"/>
      <c r="L55" s="5">
        <v>608</v>
      </c>
    </row>
    <row r="56" spans="1:35" x14ac:dyDescent="0.25">
      <c r="B56" s="1" t="s">
        <v>52</v>
      </c>
      <c r="H56" s="5">
        <v>919</v>
      </c>
      <c r="I56" s="5"/>
      <c r="J56" s="5"/>
      <c r="K56" s="5"/>
      <c r="L56" s="5">
        <v>928</v>
      </c>
    </row>
    <row r="57" spans="1:35" x14ac:dyDescent="0.25">
      <c r="B57" s="1" t="s">
        <v>53</v>
      </c>
      <c r="H57" s="5">
        <v>3203</v>
      </c>
      <c r="I57" s="5"/>
      <c r="J57" s="5"/>
      <c r="K57" s="5"/>
      <c r="L57" s="5">
        <v>3472</v>
      </c>
    </row>
    <row r="58" spans="1:35" x14ac:dyDescent="0.25">
      <c r="B58" s="1" t="s">
        <v>54</v>
      </c>
      <c r="H58" s="5">
        <v>1358</v>
      </c>
      <c r="I58" s="5"/>
      <c r="J58" s="5"/>
      <c r="K58" s="5"/>
      <c r="L58" s="5">
        <v>1606</v>
      </c>
    </row>
    <row r="59" spans="1:35" x14ac:dyDescent="0.25">
      <c r="B59" s="1" t="s">
        <v>55</v>
      </c>
      <c r="H59" s="5">
        <v>715</v>
      </c>
      <c r="I59" s="5"/>
      <c r="J59" s="5"/>
      <c r="K59" s="5"/>
      <c r="L59" s="5">
        <v>675</v>
      </c>
    </row>
    <row r="60" spans="1:35" x14ac:dyDescent="0.25">
      <c r="B60" s="1" t="s">
        <v>56</v>
      </c>
      <c r="H60" s="5">
        <v>224</v>
      </c>
      <c r="I60" s="5"/>
      <c r="J60" s="5"/>
      <c r="K60" s="5"/>
      <c r="L60" s="5">
        <v>220</v>
      </c>
    </row>
    <row r="61" spans="1:35" x14ac:dyDescent="0.25">
      <c r="B61" s="1" t="s">
        <v>57</v>
      </c>
      <c r="H61" s="5">
        <v>1231</v>
      </c>
      <c r="I61" s="5"/>
      <c r="J61" s="5"/>
      <c r="K61" s="5"/>
      <c r="L61" s="5">
        <v>1239</v>
      </c>
    </row>
    <row r="62" spans="1:35" x14ac:dyDescent="0.25">
      <c r="B62" s="1" t="s">
        <v>58</v>
      </c>
      <c r="H62" s="5">
        <v>1508</v>
      </c>
      <c r="I62" s="5"/>
      <c r="J62" s="5"/>
      <c r="K62" s="5"/>
      <c r="L62" s="5">
        <v>1447</v>
      </c>
    </row>
    <row r="63" spans="1:35" x14ac:dyDescent="0.25">
      <c r="B63" s="1" t="s">
        <v>59</v>
      </c>
      <c r="H63" s="5">
        <v>452</v>
      </c>
      <c r="I63" s="5"/>
      <c r="J63" s="5"/>
      <c r="K63" s="5"/>
      <c r="L63" s="5">
        <v>599</v>
      </c>
    </row>
    <row r="64" spans="1:35" s="2" customFormat="1" x14ac:dyDescent="0.25">
      <c r="A64" s="1"/>
      <c r="B64" s="2" t="s">
        <v>60</v>
      </c>
      <c r="H64" s="6">
        <f>+SUM(H50:H63)</f>
        <v>23979</v>
      </c>
      <c r="I64" s="6"/>
      <c r="J64" s="6"/>
      <c r="K64" s="6"/>
      <c r="L64" s="6">
        <f>+SUM(L50:L63)</f>
        <v>25604</v>
      </c>
    </row>
    <row r="65" spans="1:12" x14ac:dyDescent="0.25">
      <c r="H65" s="5"/>
      <c r="I65" s="5"/>
      <c r="J65" s="5"/>
      <c r="K65" s="5"/>
      <c r="L65" s="5"/>
    </row>
    <row r="66" spans="1:12" x14ac:dyDescent="0.25">
      <c r="B66" s="1" t="s">
        <v>61</v>
      </c>
      <c r="H66" s="5">
        <v>126</v>
      </c>
      <c r="I66" s="5"/>
      <c r="J66" s="5"/>
      <c r="K66" s="5"/>
      <c r="L66" s="5">
        <v>296</v>
      </c>
    </row>
    <row r="67" spans="1:12" x14ac:dyDescent="0.25">
      <c r="B67" s="1" t="s">
        <v>62</v>
      </c>
      <c r="H67" s="5">
        <v>1365</v>
      </c>
      <c r="I67" s="5"/>
      <c r="J67" s="5"/>
      <c r="K67" s="5"/>
      <c r="L67" s="5">
        <v>1163</v>
      </c>
    </row>
    <row r="68" spans="1:12" x14ac:dyDescent="0.25">
      <c r="B68" s="1" t="s">
        <v>63</v>
      </c>
      <c r="H68" s="5">
        <v>5785</v>
      </c>
      <c r="I68" s="5"/>
      <c r="J68" s="5"/>
      <c r="K68" s="5"/>
      <c r="L68" s="5">
        <v>5615</v>
      </c>
    </row>
    <row r="69" spans="1:12" x14ac:dyDescent="0.25">
      <c r="B69" s="1" t="s">
        <v>64</v>
      </c>
      <c r="H69" s="5">
        <v>89</v>
      </c>
      <c r="I69" s="5"/>
      <c r="J69" s="5"/>
      <c r="K69" s="5"/>
      <c r="L69" s="5">
        <v>98</v>
      </c>
    </row>
    <row r="70" spans="1:12" x14ac:dyDescent="0.25">
      <c r="B70" s="1" t="s">
        <v>69</v>
      </c>
      <c r="H70" s="5">
        <v>81</v>
      </c>
      <c r="I70" s="5"/>
      <c r="J70" s="5"/>
      <c r="K70" s="5"/>
      <c r="L70" s="5">
        <v>85</v>
      </c>
    </row>
    <row r="71" spans="1:12" x14ac:dyDescent="0.25">
      <c r="B71" s="1" t="s">
        <v>70</v>
      </c>
      <c r="H71" s="5">
        <v>707</v>
      </c>
      <c r="I71" s="5"/>
      <c r="J71" s="5"/>
      <c r="K71" s="5"/>
      <c r="L71" s="5">
        <v>669</v>
      </c>
    </row>
    <row r="72" spans="1:12" x14ac:dyDescent="0.25">
      <c r="B72" s="1" t="s">
        <v>65</v>
      </c>
      <c r="H72" s="5">
        <v>1488</v>
      </c>
      <c r="I72" s="5"/>
      <c r="J72" s="5"/>
      <c r="K72" s="5"/>
      <c r="L72" s="5">
        <v>1488</v>
      </c>
    </row>
    <row r="73" spans="1:12" x14ac:dyDescent="0.25">
      <c r="B73" s="1" t="s">
        <v>66</v>
      </c>
      <c r="H73" s="5">
        <v>118</v>
      </c>
      <c r="I73" s="5"/>
      <c r="J73" s="5"/>
      <c r="K73" s="5"/>
      <c r="L73" s="5">
        <v>127</v>
      </c>
    </row>
    <row r="74" spans="1:12" s="2" customFormat="1" x14ac:dyDescent="0.25">
      <c r="A74" s="1"/>
      <c r="B74" s="2" t="s">
        <v>67</v>
      </c>
      <c r="H74" s="6">
        <f>+SUM(H66:H73)</f>
        <v>9759</v>
      </c>
      <c r="I74" s="6"/>
      <c r="J74" s="6"/>
      <c r="K74" s="6"/>
      <c r="L74" s="6">
        <f>+SUM(L66:L73)</f>
        <v>9541</v>
      </c>
    </row>
    <row r="75" spans="1:12" s="2" customFormat="1" x14ac:dyDescent="0.25">
      <c r="A75" s="1"/>
      <c r="B75" s="2" t="s">
        <v>68</v>
      </c>
      <c r="H75" s="6">
        <f>+H64-H74</f>
        <v>14220</v>
      </c>
      <c r="I75" s="6"/>
      <c r="J75" s="6"/>
      <c r="K75" s="6"/>
      <c r="L75" s="6">
        <f>+L64-L74</f>
        <v>16063</v>
      </c>
    </row>
    <row r="77" spans="1:12" x14ac:dyDescent="0.25">
      <c r="B77" s="1" t="s">
        <v>79</v>
      </c>
      <c r="C77" s="5"/>
      <c r="D77" s="5"/>
      <c r="E77" s="5"/>
      <c r="F77" s="5"/>
      <c r="G77" s="5"/>
      <c r="H77" s="5">
        <v>1724</v>
      </c>
      <c r="I77" s="5"/>
      <c r="J77" s="5"/>
      <c r="K77" s="5"/>
      <c r="L77" s="5">
        <v>1988</v>
      </c>
    </row>
    <row r="78" spans="1:12" x14ac:dyDescent="0.25">
      <c r="L78" s="10">
        <f>+L77/H77-1</f>
        <v>0.15313225058004631</v>
      </c>
    </row>
    <row r="79" spans="1:12" x14ac:dyDescent="0.25">
      <c r="B79" s="1" t="s">
        <v>80</v>
      </c>
      <c r="H79" s="4">
        <v>0.99</v>
      </c>
      <c r="L79" s="4">
        <v>0.98</v>
      </c>
    </row>
    <row r="81" spans="2:35" x14ac:dyDescent="0.25">
      <c r="B81" s="1" t="s">
        <v>88</v>
      </c>
    </row>
    <row r="82" spans="2:35" x14ac:dyDescent="0.25">
      <c r="B82" s="1" t="s">
        <v>25</v>
      </c>
      <c r="Z82" s="4">
        <f t="shared" ref="Z82:AB82" si="110">+Z16/Z$11</f>
        <v>0.3887381275440977</v>
      </c>
      <c r="AA82" s="4">
        <f t="shared" si="110"/>
        <v>0.38840579710144929</v>
      </c>
      <c r="AB82" s="4">
        <f t="shared" si="110"/>
        <v>0.36796343774384127</v>
      </c>
      <c r="AC82" s="4">
        <f>+AC16/AC$11</f>
        <v>0.35087399854333579</v>
      </c>
      <c r="AD82" s="4">
        <f t="shared" ref="AD82:AI82" si="111">+AD16/AD$11</f>
        <v>0.33</v>
      </c>
      <c r="AE82" s="4">
        <f t="shared" si="111"/>
        <v>0.3</v>
      </c>
      <c r="AF82" s="4">
        <f t="shared" si="111"/>
        <v>0.3</v>
      </c>
      <c r="AG82" s="4">
        <f t="shared" si="111"/>
        <v>0.3</v>
      </c>
      <c r="AH82" s="4">
        <f t="shared" si="111"/>
        <v>0.3</v>
      </c>
      <c r="AI82" s="4">
        <f t="shared" si="111"/>
        <v>0.3</v>
      </c>
    </row>
    <row r="83" spans="2:35" x14ac:dyDescent="0.25">
      <c r="B83" s="1" t="s">
        <v>26</v>
      </c>
      <c r="Z83" s="4">
        <f t="shared" ref="Z83:AC83" si="112">+Z17/Z$11</f>
        <v>0.23694029850746268</v>
      </c>
      <c r="AA83" s="4">
        <f t="shared" si="112"/>
        <v>0.24403036576949622</v>
      </c>
      <c r="AB83" s="4">
        <f t="shared" si="112"/>
        <v>0.23676290268643407</v>
      </c>
      <c r="AC83" s="4">
        <f t="shared" si="112"/>
        <v>0.23151857246904589</v>
      </c>
      <c r="AD83" s="4">
        <f t="shared" ref="AD83:AI83" si="113">+AD17/AD$11</f>
        <v>0.19</v>
      </c>
      <c r="AE83" s="4">
        <f t="shared" si="113"/>
        <v>0.16</v>
      </c>
      <c r="AF83" s="4">
        <f t="shared" si="113"/>
        <v>0.14000000000000001</v>
      </c>
      <c r="AG83" s="4">
        <f t="shared" si="113"/>
        <v>0.13</v>
      </c>
      <c r="AH83" s="4">
        <f t="shared" si="113"/>
        <v>0.13</v>
      </c>
      <c r="AI83" s="4">
        <f t="shared" si="113"/>
        <v>0.13</v>
      </c>
    </row>
    <row r="84" spans="2:35" x14ac:dyDescent="0.25">
      <c r="B84" s="1" t="s">
        <v>27</v>
      </c>
      <c r="Z84" s="4">
        <f t="shared" ref="Z84:AC84" si="114">+Z18/Z$11</f>
        <v>0.1012550881953867</v>
      </c>
      <c r="AA84" s="4">
        <f t="shared" si="114"/>
        <v>0.10144927536231885</v>
      </c>
      <c r="AB84" s="4">
        <f t="shared" si="114"/>
        <v>9.6198863003009699E-2</v>
      </c>
      <c r="AC84" s="4">
        <f t="shared" si="114"/>
        <v>8.5214857975236702E-2</v>
      </c>
      <c r="AD84" s="4">
        <f t="shared" ref="AD84:AI84" si="115">+AD18/AD$11</f>
        <v>0.09</v>
      </c>
      <c r="AE84" s="4">
        <f t="shared" si="115"/>
        <v>8.5000000000000006E-2</v>
      </c>
      <c r="AF84" s="4">
        <f t="shared" si="115"/>
        <v>0.08</v>
      </c>
      <c r="AG84" s="4">
        <f t="shared" si="115"/>
        <v>7.0000000000000007E-2</v>
      </c>
      <c r="AH84" s="4">
        <f t="shared" si="115"/>
        <v>7.0000000000000007E-2</v>
      </c>
      <c r="AI84" s="4">
        <f t="shared" si="115"/>
        <v>7.0000000000000007E-2</v>
      </c>
    </row>
  </sheetData>
  <hyperlinks>
    <hyperlink ref="A1" location="main!A1" display="main" xr:uid="{89C693D2-7666-4BD5-80E9-EC2E2D107A13}"/>
  </hyperlink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Cadal Duarte Morais</dc:creator>
  <cp:lastModifiedBy>Alexandre Duarte Morais</cp:lastModifiedBy>
  <dcterms:created xsi:type="dcterms:W3CDTF">2024-06-04T19:39:55Z</dcterms:created>
  <dcterms:modified xsi:type="dcterms:W3CDTF">2025-04-11T15:36:02Z</dcterms:modified>
</cp:coreProperties>
</file>