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1172" documentId="8_{365BE2D3-B21A-4611-934E-9390977FFB10}" xr6:coauthVersionLast="47" xr6:coauthVersionMax="47" xr10:uidLastSave="{A3488DF4-E077-40E0-951F-56630D7B3E35}"/>
  <bookViews>
    <workbookView xWindow="28680" yWindow="-990" windowWidth="29040" windowHeight="15720" activeTab="1" xr2:uid="{BB655E07-5192-44E6-983D-A3B510CDA9E2}"/>
  </bookViews>
  <sheets>
    <sheet name="main" sheetId="1" r:id="rId1"/>
    <sheet name="model" sheetId="2" r:id="rId2"/>
    <sheet name="Executive Management" sheetId="3" r:id="rId3"/>
  </sheets>
  <definedNames>
    <definedName name="_xlnm._FilterDatabase" localSheetId="2" hidden="1">'Executive Management'!$B$2:$F$10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32" i="2" l="1"/>
  <c r="AD32" i="2" s="1"/>
  <c r="AE32" i="2" s="1"/>
  <c r="AF32" i="2" s="1"/>
  <c r="AG32" i="2" s="1"/>
  <c r="AH32" i="2" s="1"/>
  <c r="AI32" i="2" s="1"/>
  <c r="AB32" i="2"/>
  <c r="X42" i="2"/>
  <c r="W42" i="2"/>
  <c r="V42" i="2"/>
  <c r="U42" i="2"/>
  <c r="T42" i="2"/>
  <c r="S42" i="2"/>
  <c r="X41" i="2"/>
  <c r="W41" i="2"/>
  <c r="V41" i="2"/>
  <c r="U41" i="2"/>
  <c r="T41" i="2"/>
  <c r="S41" i="2"/>
  <c r="X26" i="2"/>
  <c r="W26" i="2"/>
  <c r="V26" i="2"/>
  <c r="U26" i="2"/>
  <c r="T26" i="2"/>
  <c r="S26" i="2"/>
  <c r="W20" i="2"/>
  <c r="V20" i="2"/>
  <c r="U20" i="2"/>
  <c r="T20" i="2"/>
  <c r="S20" i="2"/>
  <c r="X20" i="2"/>
  <c r="Y39" i="2"/>
  <c r="X39" i="2"/>
  <c r="W39" i="2"/>
  <c r="V39" i="2"/>
  <c r="U39" i="2"/>
  <c r="T39" i="2"/>
  <c r="S1" i="2"/>
  <c r="Z1" i="2"/>
  <c r="AA1" i="2" s="1"/>
  <c r="AB1" i="2" s="1"/>
  <c r="X1" i="2"/>
  <c r="P38" i="2"/>
  <c r="P37" i="2"/>
  <c r="P88" i="2"/>
  <c r="P84" i="2"/>
  <c r="P35" i="2"/>
  <c r="P27" i="2"/>
  <c r="P25" i="2"/>
  <c r="P19" i="2"/>
  <c r="P21" i="2" s="1"/>
  <c r="M6" i="1"/>
  <c r="M4" i="1"/>
  <c r="AB4" i="2"/>
  <c r="AC4" i="2" s="1"/>
  <c r="AD4" i="2" s="1"/>
  <c r="AE4" i="2" s="1"/>
  <c r="AF4" i="2" s="1"/>
  <c r="O84" i="2"/>
  <c r="O85" i="2" s="1"/>
  <c r="O27" i="2"/>
  <c r="O35" i="2"/>
  <c r="O25" i="2"/>
  <c r="O19" i="2"/>
  <c r="O47" i="2" s="1"/>
  <c r="AA91" i="2"/>
  <c r="Z91" i="2"/>
  <c r="M3" i="1" a="1"/>
  <c r="M3" i="1" s="1"/>
  <c r="M5" i="1" s="1"/>
  <c r="M8" i="1" s="1"/>
  <c r="AA38" i="2"/>
  <c r="Z38" i="2"/>
  <c r="Z37" i="2"/>
  <c r="AA37" i="2"/>
  <c r="AB6" i="2"/>
  <c r="AC6" i="2" s="1"/>
  <c r="AB5" i="2"/>
  <c r="AC5" i="2" s="1"/>
  <c r="AD5" i="2" s="1"/>
  <c r="I36" i="2"/>
  <c r="H36" i="2"/>
  <c r="G36" i="2"/>
  <c r="I35" i="2"/>
  <c r="H35" i="2"/>
  <c r="G35" i="2"/>
  <c r="F27" i="2"/>
  <c r="E27" i="2"/>
  <c r="D27" i="2"/>
  <c r="C27" i="2"/>
  <c r="Z88" i="2"/>
  <c r="AA88" i="2"/>
  <c r="AB28" i="2" s="1"/>
  <c r="J27" i="2"/>
  <c r="N27" i="2"/>
  <c r="J6" i="2"/>
  <c r="J5" i="2"/>
  <c r="J36" i="2" s="1"/>
  <c r="J4" i="2"/>
  <c r="J35" i="2" s="1"/>
  <c r="N6" i="2"/>
  <c r="N5" i="2"/>
  <c r="N4" i="2"/>
  <c r="K36" i="2"/>
  <c r="K35" i="2"/>
  <c r="G27" i="2"/>
  <c r="K27" i="2"/>
  <c r="L36" i="2"/>
  <c r="L35" i="2"/>
  <c r="H27" i="2"/>
  <c r="L27" i="2"/>
  <c r="N84" i="2"/>
  <c r="M84" i="2"/>
  <c r="L84" i="2"/>
  <c r="K84" i="2"/>
  <c r="J84" i="2"/>
  <c r="I84" i="2"/>
  <c r="H84" i="2"/>
  <c r="G84" i="2"/>
  <c r="F84" i="2"/>
  <c r="E84" i="2"/>
  <c r="D84" i="2"/>
  <c r="C84" i="2"/>
  <c r="M36" i="2"/>
  <c r="M35" i="2"/>
  <c r="I27" i="2"/>
  <c r="M27" i="2"/>
  <c r="N25" i="2"/>
  <c r="M25" i="2"/>
  <c r="L25" i="2"/>
  <c r="K25" i="2"/>
  <c r="J25" i="2"/>
  <c r="I25" i="2"/>
  <c r="H25" i="2"/>
  <c r="G25" i="2"/>
  <c r="F25" i="2"/>
  <c r="E25" i="2"/>
  <c r="D25" i="2"/>
  <c r="C25" i="2"/>
  <c r="M19" i="2"/>
  <c r="M21" i="2" s="1"/>
  <c r="M41" i="2" s="1"/>
  <c r="L19" i="2"/>
  <c r="L21" i="2" s="1"/>
  <c r="L41" i="2" s="1"/>
  <c r="K19" i="2"/>
  <c r="K21" i="2" s="1"/>
  <c r="K41" i="2" s="1"/>
  <c r="I19" i="2"/>
  <c r="I21" i="2" s="1"/>
  <c r="I41" i="2" s="1"/>
  <c r="H19" i="2"/>
  <c r="H21" i="2" s="1"/>
  <c r="H41" i="2" s="1"/>
  <c r="G19" i="2"/>
  <c r="G21" i="2" s="1"/>
  <c r="G41" i="2" s="1"/>
  <c r="F19" i="2"/>
  <c r="F21" i="2" s="1"/>
  <c r="F41" i="2" s="1"/>
  <c r="E19" i="2"/>
  <c r="E21" i="2" s="1"/>
  <c r="E41" i="2" s="1"/>
  <c r="D19" i="2"/>
  <c r="D21" i="2" s="1"/>
  <c r="D41" i="2" s="1"/>
  <c r="C19" i="2"/>
  <c r="C21" i="2" s="1"/>
  <c r="C41" i="2" s="1"/>
  <c r="AA80" i="2"/>
  <c r="Z80" i="2"/>
  <c r="Y80" i="2"/>
  <c r="AA71" i="2"/>
  <c r="Z71" i="2"/>
  <c r="Y71" i="2"/>
  <c r="Y61" i="2"/>
  <c r="Z61" i="2"/>
  <c r="AA61" i="2"/>
  <c r="AA36" i="2"/>
  <c r="Z36" i="2"/>
  <c r="Z35" i="2"/>
  <c r="AA35" i="2"/>
  <c r="AA27" i="2"/>
  <c r="Z27" i="2"/>
  <c r="Y27" i="2"/>
  <c r="AA25" i="2"/>
  <c r="Z25" i="2"/>
  <c r="Y25" i="2"/>
  <c r="AA19" i="2"/>
  <c r="AA46" i="2" s="1"/>
  <c r="Z19" i="2"/>
  <c r="Y19" i="2"/>
  <c r="Y46" i="2" s="1"/>
  <c r="P39" i="2" l="1"/>
  <c r="P45" i="2"/>
  <c r="P26" i="2"/>
  <c r="P41" i="2"/>
  <c r="P46" i="2"/>
  <c r="P47" i="2"/>
  <c r="P85" i="2"/>
  <c r="M10" i="1"/>
  <c r="M11" i="1"/>
  <c r="M12" i="1" s="1"/>
  <c r="AG4" i="2"/>
  <c r="AB35" i="2"/>
  <c r="O39" i="2"/>
  <c r="O21" i="2"/>
  <c r="O41" i="2" s="1"/>
  <c r="O45" i="2"/>
  <c r="O46" i="2"/>
  <c r="K85" i="2"/>
  <c r="G85" i="2"/>
  <c r="N85" i="2"/>
  <c r="N35" i="2"/>
  <c r="H85" i="2"/>
  <c r="I85" i="2"/>
  <c r="J85" i="2"/>
  <c r="G47" i="2"/>
  <c r="L85" i="2"/>
  <c r="M85" i="2"/>
  <c r="F85" i="2"/>
  <c r="AC35" i="2"/>
  <c r="M46" i="2"/>
  <c r="I39" i="2"/>
  <c r="G39" i="2"/>
  <c r="H39" i="2"/>
  <c r="AC19" i="2"/>
  <c r="AE5" i="2"/>
  <c r="AD36" i="2"/>
  <c r="AC36" i="2"/>
  <c r="AD6" i="2"/>
  <c r="AE6" i="2" s="1"/>
  <c r="AF6" i="2" s="1"/>
  <c r="AG6" i="2" s="1"/>
  <c r="AH6" i="2" s="1"/>
  <c r="AI6" i="2" s="1"/>
  <c r="AB19" i="2"/>
  <c r="AB36" i="2"/>
  <c r="F26" i="2"/>
  <c r="D26" i="2"/>
  <c r="C26" i="2"/>
  <c r="M47" i="2"/>
  <c r="I45" i="2"/>
  <c r="H45" i="2"/>
  <c r="I46" i="2"/>
  <c r="H46" i="2"/>
  <c r="K45" i="2"/>
  <c r="I47" i="2"/>
  <c r="H47" i="2"/>
  <c r="K39" i="2"/>
  <c r="K46" i="2"/>
  <c r="E26" i="2"/>
  <c r="M39" i="2"/>
  <c r="L39" i="2"/>
  <c r="L45" i="2"/>
  <c r="K47" i="2"/>
  <c r="L46" i="2"/>
  <c r="G45" i="2"/>
  <c r="M45" i="2"/>
  <c r="L47" i="2"/>
  <c r="G46" i="2"/>
  <c r="J19" i="2"/>
  <c r="J39" i="2" s="1"/>
  <c r="N19" i="2"/>
  <c r="G26" i="2"/>
  <c r="K26" i="2"/>
  <c r="H26" i="2"/>
  <c r="L26" i="2"/>
  <c r="I26" i="2"/>
  <c r="M26" i="2"/>
  <c r="Z39" i="2"/>
  <c r="AA86" i="2"/>
  <c r="Y86" i="2"/>
  <c r="Z86" i="2"/>
  <c r="Y21" i="2"/>
  <c r="Y41" i="2" s="1"/>
  <c r="Y45" i="2"/>
  <c r="AA21" i="2"/>
  <c r="AA41" i="2" s="1"/>
  <c r="Z47" i="2"/>
  <c r="AA47" i="2"/>
  <c r="Y47" i="2"/>
  <c r="Z45" i="2"/>
  <c r="AA45" i="2"/>
  <c r="AA39" i="2"/>
  <c r="Z46" i="2"/>
  <c r="Z21" i="2"/>
  <c r="Z41" i="2" s="1"/>
  <c r="P42" i="2" l="1"/>
  <c r="P29" i="2"/>
  <c r="P31" i="2" s="1"/>
  <c r="O26" i="2"/>
  <c r="AC22" i="2"/>
  <c r="AC45" i="2" s="1"/>
  <c r="AC23" i="2"/>
  <c r="AC46" i="2" s="1"/>
  <c r="AH4" i="2"/>
  <c r="AI4" i="2" s="1"/>
  <c r="AD35" i="2"/>
  <c r="AE35" i="2"/>
  <c r="C29" i="2"/>
  <c r="C31" i="2" s="1"/>
  <c r="C42" i="2"/>
  <c r="D29" i="2"/>
  <c r="D31" i="2" s="1"/>
  <c r="D42" i="2"/>
  <c r="AC20" i="2"/>
  <c r="AC21" i="2" s="1"/>
  <c r="AC24" i="2"/>
  <c r="AC47" i="2" s="1"/>
  <c r="AB23" i="2"/>
  <c r="AB46" i="2" s="1"/>
  <c r="AB22" i="2"/>
  <c r="AB20" i="2"/>
  <c r="AB21" i="2" s="1"/>
  <c r="AB24" i="2"/>
  <c r="AB47" i="2" s="1"/>
  <c r="F29" i="2"/>
  <c r="F31" i="2" s="1"/>
  <c r="F42" i="2"/>
  <c r="E29" i="2"/>
  <c r="E31" i="2" s="1"/>
  <c r="E42" i="2"/>
  <c r="AB39" i="2"/>
  <c r="AC39" i="2"/>
  <c r="AE19" i="2"/>
  <c r="AE23" i="2" s="1"/>
  <c r="AF5" i="2"/>
  <c r="AE36" i="2"/>
  <c r="AD19" i="2"/>
  <c r="K29" i="2"/>
  <c r="K31" i="2" s="1"/>
  <c r="K42" i="2"/>
  <c r="N21" i="2"/>
  <c r="N45" i="2"/>
  <c r="N39" i="2"/>
  <c r="N47" i="2"/>
  <c r="N46" i="2"/>
  <c r="M29" i="2"/>
  <c r="M31" i="2" s="1"/>
  <c r="M42" i="2"/>
  <c r="J21" i="2"/>
  <c r="J47" i="2"/>
  <c r="J46" i="2"/>
  <c r="J45" i="2"/>
  <c r="I29" i="2"/>
  <c r="I31" i="2" s="1"/>
  <c r="I42" i="2"/>
  <c r="G29" i="2"/>
  <c r="G31" i="2" s="1"/>
  <c r="G42" i="2"/>
  <c r="L29" i="2"/>
  <c r="L31" i="2" s="1"/>
  <c r="L42" i="2"/>
  <c r="H29" i="2"/>
  <c r="H31" i="2" s="1"/>
  <c r="H42" i="2"/>
  <c r="AA26" i="2"/>
  <c r="AA42" i="2" s="1"/>
  <c r="Y26" i="2"/>
  <c r="Y29" i="2" s="1"/>
  <c r="Y31" i="2" s="1"/>
  <c r="Z26" i="2"/>
  <c r="P33" i="2" l="1"/>
  <c r="P43" i="2"/>
  <c r="O42" i="2"/>
  <c r="O29" i="2"/>
  <c r="O31" i="2" s="1"/>
  <c r="AD22" i="2"/>
  <c r="AD45" i="2" s="1"/>
  <c r="AD23" i="2"/>
  <c r="AD46" i="2" s="1"/>
  <c r="AF35" i="2"/>
  <c r="AG35" i="2"/>
  <c r="AB41" i="2"/>
  <c r="AC41" i="2"/>
  <c r="AD20" i="2"/>
  <c r="AD21" i="2" s="1"/>
  <c r="AD24" i="2"/>
  <c r="AD47" i="2" s="1"/>
  <c r="F33" i="2"/>
  <c r="F43" i="2"/>
  <c r="AE22" i="2"/>
  <c r="AE45" i="2" s="1"/>
  <c r="AE20" i="2"/>
  <c r="AE21" i="2" s="1"/>
  <c r="AE24" i="2"/>
  <c r="AE47" i="2" s="1"/>
  <c r="AE46" i="2"/>
  <c r="AC25" i="2"/>
  <c r="AC26" i="2" s="1"/>
  <c r="AC42" i="2" s="1"/>
  <c r="AB25" i="2"/>
  <c r="AB26" i="2" s="1"/>
  <c r="D33" i="2"/>
  <c r="D43" i="2"/>
  <c r="AB45" i="2"/>
  <c r="E33" i="2"/>
  <c r="E43" i="2"/>
  <c r="C33" i="2"/>
  <c r="C43" i="2"/>
  <c r="AG5" i="2"/>
  <c r="AF36" i="2"/>
  <c r="AF19" i="2"/>
  <c r="AF23" i="2" s="1"/>
  <c r="AE39" i="2"/>
  <c r="AD39" i="2"/>
  <c r="M33" i="2"/>
  <c r="M43" i="2"/>
  <c r="G33" i="2"/>
  <c r="G43" i="2"/>
  <c r="I33" i="2"/>
  <c r="I43" i="2"/>
  <c r="H33" i="2"/>
  <c r="H43" i="2"/>
  <c r="N26" i="2"/>
  <c r="N41" i="2"/>
  <c r="L33" i="2"/>
  <c r="L43" i="2"/>
  <c r="J26" i="2"/>
  <c r="J41" i="2"/>
  <c r="K33" i="2"/>
  <c r="K43" i="2"/>
  <c r="AA29" i="2"/>
  <c r="AA31" i="2" s="1"/>
  <c r="AA43" i="2" s="1"/>
  <c r="Y42" i="2"/>
  <c r="Y43" i="2"/>
  <c r="Y33" i="2"/>
  <c r="Y49" i="2"/>
  <c r="Y62" i="2" s="1"/>
  <c r="Z42" i="2"/>
  <c r="Z29" i="2"/>
  <c r="Z31" i="2" s="1"/>
  <c r="O33" i="2" l="1"/>
  <c r="O43" i="2"/>
  <c r="AI35" i="2"/>
  <c r="AH35" i="2"/>
  <c r="AB42" i="2"/>
  <c r="AB29" i="2"/>
  <c r="AB30" i="2" s="1"/>
  <c r="AB31" i="2" s="1"/>
  <c r="AF20" i="2"/>
  <c r="AF21" i="2" s="1"/>
  <c r="AF24" i="2"/>
  <c r="AF47" i="2" s="1"/>
  <c r="AF46" i="2"/>
  <c r="AF22" i="2"/>
  <c r="AD25" i="2"/>
  <c r="AD26" i="2" s="1"/>
  <c r="AE25" i="2"/>
  <c r="AE26" i="2" s="1"/>
  <c r="AH5" i="2"/>
  <c r="AG36" i="2"/>
  <c r="AG19" i="2"/>
  <c r="AG23" i="2" s="1"/>
  <c r="AE41" i="2"/>
  <c r="AD41" i="2"/>
  <c r="AF39" i="2"/>
  <c r="J29" i="2"/>
  <c r="J31" i="2" s="1"/>
  <c r="J42" i="2"/>
  <c r="N29" i="2"/>
  <c r="N31" i="2" s="1"/>
  <c r="N42" i="2"/>
  <c r="Y82" i="2"/>
  <c r="Y84" i="2"/>
  <c r="AA33" i="2"/>
  <c r="AA49" i="2"/>
  <c r="AA62" i="2" s="1"/>
  <c r="Z33" i="2"/>
  <c r="Z43" i="2"/>
  <c r="Z49" i="2"/>
  <c r="Z62" i="2" s="1"/>
  <c r="AF25" i="2" l="1"/>
  <c r="AF26" i="2" s="1"/>
  <c r="AG24" i="2"/>
  <c r="AG47" i="2" s="1"/>
  <c r="AG46" i="2"/>
  <c r="AG22" i="2"/>
  <c r="AG45" i="2" s="1"/>
  <c r="AG20" i="2"/>
  <c r="AG21" i="2" s="1"/>
  <c r="AF45" i="2"/>
  <c r="AB88" i="2"/>
  <c r="AC28" i="2" s="1"/>
  <c r="AC29" i="2" s="1"/>
  <c r="AC30" i="2" s="1"/>
  <c r="AC31" i="2" s="1"/>
  <c r="AB43" i="2"/>
  <c r="AB33" i="2"/>
  <c r="AH19" i="2"/>
  <c r="AH23" i="2" s="1"/>
  <c r="AI5" i="2"/>
  <c r="AH36" i="2"/>
  <c r="AD42" i="2"/>
  <c r="AF41" i="2"/>
  <c r="AE42" i="2"/>
  <c r="AG39" i="2"/>
  <c r="N33" i="2"/>
  <c r="N43" i="2"/>
  <c r="J33" i="2"/>
  <c r="J43" i="2"/>
  <c r="Z84" i="2"/>
  <c r="Z82" i="2"/>
  <c r="AA82" i="2"/>
  <c r="AA84" i="2"/>
  <c r="AG25" i="2" l="1"/>
  <c r="AG26" i="2" s="1"/>
  <c r="AH24" i="2"/>
  <c r="AH47" i="2" s="1"/>
  <c r="AH46" i="2"/>
  <c r="AH22" i="2"/>
  <c r="AH20" i="2"/>
  <c r="AH21" i="2" s="1"/>
  <c r="AC43" i="2"/>
  <c r="AC33" i="2"/>
  <c r="AC88" i="2"/>
  <c r="AD28" i="2" s="1"/>
  <c r="AD29" i="2" s="1"/>
  <c r="AH39" i="2"/>
  <c r="AI36" i="2"/>
  <c r="AI19" i="2"/>
  <c r="AI23" i="2" s="1"/>
  <c r="AG41" i="2"/>
  <c r="AF42" i="2"/>
  <c r="AH25" i="2" l="1"/>
  <c r="AH26" i="2" s="1"/>
  <c r="AH45" i="2"/>
  <c r="AI24" i="2"/>
  <c r="AI47" i="2" s="1"/>
  <c r="AI22" i="2"/>
  <c r="AI45" i="2" s="1"/>
  <c r="AI20" i="2"/>
  <c r="AI21" i="2" s="1"/>
  <c r="AD30" i="2"/>
  <c r="AD31" i="2" s="1"/>
  <c r="AG42" i="2"/>
  <c r="AH41" i="2"/>
  <c r="AI46" i="2"/>
  <c r="AI39" i="2"/>
  <c r="AI25" i="2" l="1"/>
  <c r="AI26" i="2" s="1"/>
  <c r="AD88" i="2"/>
  <c r="AE28" i="2" s="1"/>
  <c r="AE29" i="2" s="1"/>
  <c r="AD33" i="2"/>
  <c r="AD43" i="2"/>
  <c r="AI41" i="2"/>
  <c r="AH42" i="2"/>
  <c r="AE30" i="2" l="1"/>
  <c r="AE31" i="2" s="1"/>
  <c r="AI42" i="2"/>
  <c r="AE33" i="2" l="1"/>
  <c r="AE43" i="2"/>
  <c r="AE88" i="2"/>
  <c r="AF28" i="2" s="1"/>
  <c r="AF29" i="2" s="1"/>
  <c r="AF30" i="2" l="1"/>
  <c r="AF31" i="2" s="1"/>
  <c r="AF88" i="2" l="1"/>
  <c r="AG28" i="2" s="1"/>
  <c r="AG29" i="2" s="1"/>
  <c r="AF33" i="2"/>
  <c r="AF43" i="2"/>
  <c r="AG30" i="2" l="1"/>
  <c r="AG31" i="2" s="1"/>
  <c r="AG43" i="2" l="1"/>
  <c r="AG33" i="2"/>
  <c r="AG88" i="2"/>
  <c r="AH28" i="2" s="1"/>
  <c r="AH29" i="2" s="1"/>
  <c r="AH30" i="2" l="1"/>
  <c r="AH31" i="2" s="1"/>
  <c r="AH43" i="2" l="1"/>
  <c r="AH33" i="2"/>
  <c r="AH88" i="2"/>
  <c r="AI28" i="2" s="1"/>
  <c r="AI29" i="2" s="1"/>
  <c r="AI30" i="2" l="1"/>
  <c r="AI31" i="2" s="1"/>
  <c r="AJ31" i="2" s="1"/>
  <c r="AK31" i="2" s="1"/>
  <c r="AL31" i="2" s="1"/>
  <c r="AM31" i="2" s="1"/>
  <c r="AN31" i="2" s="1"/>
  <c r="AO31" i="2" s="1"/>
  <c r="AP31" i="2" s="1"/>
  <c r="AQ31" i="2" s="1"/>
  <c r="AR31" i="2" s="1"/>
  <c r="AS31" i="2" s="1"/>
  <c r="AT31" i="2" s="1"/>
  <c r="AU31" i="2" s="1"/>
  <c r="AV31" i="2" s="1"/>
  <c r="AW31" i="2" s="1"/>
  <c r="AX31" i="2" s="1"/>
  <c r="AY31" i="2" s="1"/>
  <c r="AZ31" i="2" s="1"/>
  <c r="BA31" i="2" s="1"/>
  <c r="BB31" i="2" s="1"/>
  <c r="BC31" i="2" s="1"/>
  <c r="BD31" i="2" s="1"/>
  <c r="BE31" i="2" s="1"/>
  <c r="BF31" i="2" s="1"/>
  <c r="BG31" i="2" s="1"/>
  <c r="BH31" i="2" s="1"/>
  <c r="BI31" i="2" s="1"/>
  <c r="BJ31" i="2" s="1"/>
  <c r="BK31" i="2" s="1"/>
  <c r="BL31" i="2" s="1"/>
  <c r="BM31" i="2" s="1"/>
  <c r="BN31" i="2" s="1"/>
  <c r="BO31" i="2" s="1"/>
  <c r="BP31" i="2" s="1"/>
  <c r="BQ31" i="2" s="1"/>
  <c r="BR31" i="2" s="1"/>
  <c r="BS31" i="2" s="1"/>
  <c r="BT31" i="2" s="1"/>
  <c r="BU31" i="2" s="1"/>
  <c r="BV31" i="2" s="1"/>
  <c r="BW31" i="2" s="1"/>
  <c r="BX31" i="2" s="1"/>
  <c r="BY31" i="2" s="1"/>
  <c r="BZ31" i="2" s="1"/>
  <c r="CA31" i="2" s="1"/>
  <c r="CB31" i="2" s="1"/>
  <c r="CC31" i="2" s="1"/>
  <c r="CD31" i="2" s="1"/>
  <c r="CE31" i="2" s="1"/>
  <c r="CF31" i="2" s="1"/>
  <c r="AL12" i="2" l="1"/>
  <c r="AL13" i="2" s="1"/>
  <c r="AI88" i="2"/>
  <c r="AI33" i="2"/>
  <c r="AI43" i="2"/>
  <c r="AC1" i="2"/>
  <c r="AD1" i="2" s="1"/>
  <c r="AE1" i="2" s="1"/>
  <c r="AF1" i="2" s="1"/>
  <c r="AG1" i="2" s="1"/>
  <c r="AH1" i="2" s="1"/>
  <c r="AI1" i="2" s="1"/>
  <c r="W1" i="2"/>
  <c r="V1" i="2" s="1"/>
  <c r="U1" i="2" s="1"/>
  <c r="T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B5" authorId="0" shapeId="0" xr:uid="{CD49ACFA-EAB4-409C-BDC4-02C66CCC2C26}">
      <text>
        <r>
          <rPr>
            <b/>
            <sz val="9"/>
            <color indexed="81"/>
            <rFont val="Tahoma"/>
            <family val="2"/>
          </rPr>
          <t>alexa:</t>
        </r>
        <r>
          <rPr>
            <sz val="9"/>
            <color indexed="81"/>
            <rFont val="Tahoma"/>
            <family val="2"/>
          </rPr>
          <t xml:space="preserve">
Acquired in NOV2023 for $885,6M</t>
        </r>
      </text>
    </comment>
    <comment ref="H7" authorId="0" shapeId="0" xr:uid="{96B5DE44-56AD-4298-9440-7A33D50A6CCF}">
      <text>
        <r>
          <rPr>
            <b/>
            <sz val="9"/>
            <color indexed="81"/>
            <rFont val="Tahoma"/>
            <family val="2"/>
          </rPr>
          <t>alexa:</t>
        </r>
        <r>
          <rPr>
            <sz val="9"/>
            <color indexed="81"/>
            <rFont val="Tahoma"/>
            <family val="2"/>
          </rPr>
          <t xml:space="preserve">
Scott left in 2024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Q19" authorId="0" shapeId="0" xr:uid="{C13667A7-672A-4458-8A85-A5908448030E}">
      <text>
        <r>
          <rPr>
            <b/>
            <sz val="9"/>
            <color indexed="81"/>
            <rFont val="Tahoma"/>
            <family val="2"/>
          </rPr>
          <t>alexa:</t>
        </r>
        <r>
          <rPr>
            <sz val="9"/>
            <color indexed="81"/>
            <rFont val="Tahoma"/>
            <family val="2"/>
          </rPr>
          <t xml:space="preserve">
1345-1353</t>
        </r>
      </text>
    </comment>
    <comment ref="AB19" authorId="0" shapeId="0" xr:uid="{77022D64-D62C-4FFE-A001-86F376E5B14C}">
      <text>
        <r>
          <rPr>
            <b/>
            <sz val="9"/>
            <color indexed="81"/>
            <rFont val="Tahoma"/>
            <family val="2"/>
          </rPr>
          <t>alexa:</t>
        </r>
        <r>
          <rPr>
            <sz val="9"/>
            <color indexed="81"/>
            <rFont val="Tahoma"/>
            <family val="2"/>
          </rPr>
          <t xml:space="preserve">
5190</t>
        </r>
      </text>
    </comment>
    <comment ref="AC19" authorId="0" shapeId="0" xr:uid="{559F35AB-22A1-4A73-BBCF-061EE8218B6E}">
      <text>
        <r>
          <rPr>
            <b/>
            <sz val="9"/>
            <color indexed="81"/>
            <rFont val="Tahoma"/>
            <family val="2"/>
          </rPr>
          <t>alexa:</t>
        </r>
        <r>
          <rPr>
            <sz val="9"/>
            <color indexed="81"/>
            <rFont val="Tahoma"/>
            <family val="2"/>
          </rPr>
          <t xml:space="preserve">
6210</t>
        </r>
      </text>
    </comment>
    <comment ref="AB33" authorId="0" shapeId="0" xr:uid="{3F13F1E9-CEC7-4A03-9555-6DF56BB34A47}">
      <text>
        <r>
          <rPr>
            <b/>
            <sz val="9"/>
            <color indexed="81"/>
            <rFont val="Tahoma"/>
            <family val="2"/>
          </rPr>
          <t>alexa:</t>
        </r>
        <r>
          <rPr>
            <sz val="9"/>
            <color indexed="81"/>
            <rFont val="Tahoma"/>
            <family val="2"/>
          </rPr>
          <t xml:space="preserve">
3.48</t>
        </r>
      </text>
    </comment>
    <comment ref="AC33" authorId="0" shapeId="0" xr:uid="{416BAC56-30A2-4D48-9B00-E42EF3BD301A}">
      <text>
        <r>
          <rPr>
            <b/>
            <sz val="9"/>
            <color indexed="81"/>
            <rFont val="Tahoma"/>
            <family val="2"/>
          </rPr>
          <t>alexa:</t>
        </r>
        <r>
          <rPr>
            <sz val="9"/>
            <color indexed="81"/>
            <rFont val="Tahoma"/>
            <family val="2"/>
          </rPr>
          <t xml:space="preserve">
4.21</t>
        </r>
      </text>
    </comment>
    <comment ref="AB39" authorId="0" shapeId="0" xr:uid="{9286EEE5-6840-4780-99A4-0CCDDA081405}">
      <text>
        <r>
          <rPr>
            <b/>
            <sz val="9"/>
            <color indexed="81"/>
            <rFont val="Tahoma"/>
            <charset val="1"/>
          </rPr>
          <t>alexa:</t>
        </r>
        <r>
          <rPr>
            <sz val="9"/>
            <color indexed="81"/>
            <rFont val="Tahoma"/>
            <charset val="1"/>
          </rPr>
          <t xml:space="preserve">
16,5% TO 17%</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<sst xmlns="http://schemas.openxmlformats.org/spreadsheetml/2006/main" count="179" uniqueCount="161">
  <si>
    <t>Subscription</t>
  </si>
  <si>
    <t>Maintenance</t>
  </si>
  <si>
    <t>Other</t>
  </si>
  <si>
    <t>Revenue</t>
  </si>
  <si>
    <t>main</t>
  </si>
  <si>
    <t>COGS</t>
  </si>
  <si>
    <t>Gross Profit</t>
  </si>
  <si>
    <t>R&amp;D</t>
  </si>
  <si>
    <t>M&amp;S</t>
  </si>
  <si>
    <t>G&amp;A</t>
  </si>
  <si>
    <t>Total Opex</t>
  </si>
  <si>
    <t>EBIT</t>
  </si>
  <si>
    <t>Net Interest</t>
  </si>
  <si>
    <t>Other Income</t>
  </si>
  <si>
    <t>Pretax Income</t>
  </si>
  <si>
    <t>Taxes</t>
  </si>
  <si>
    <t>Net Income</t>
  </si>
  <si>
    <t>Shares</t>
  </si>
  <si>
    <t>EPS</t>
  </si>
  <si>
    <t>Revenue y/y</t>
  </si>
  <si>
    <t>Gross Margin</t>
  </si>
  <si>
    <t>EBIT Margin</t>
  </si>
  <si>
    <t>Net Margin</t>
  </si>
  <si>
    <t>R&amp;D %</t>
  </si>
  <si>
    <t>M&amp;S %</t>
  </si>
  <si>
    <t>G&amp;A %</t>
  </si>
  <si>
    <t>D&amp;A</t>
  </si>
  <si>
    <t>SBC</t>
  </si>
  <si>
    <t>Impairments</t>
  </si>
  <si>
    <t>Deferred income taxes</t>
  </si>
  <si>
    <t>non-cash sales</t>
  </si>
  <si>
    <t>Amortization ofswap contracts</t>
  </si>
  <si>
    <t>Strategic investments</t>
  </si>
  <si>
    <t>FX</t>
  </si>
  <si>
    <t>CIOAL</t>
  </si>
  <si>
    <t>CFFO</t>
  </si>
  <si>
    <t>exchange derivative and capped call transactions</t>
  </si>
  <si>
    <t>Amortization of debt discount and issuance cost</t>
  </si>
  <si>
    <t>Business combinations</t>
  </si>
  <si>
    <t>Purchases of intangibles</t>
  </si>
  <si>
    <t>Purchases of PPE</t>
  </si>
  <si>
    <t>"" Strategic investments</t>
  </si>
  <si>
    <t>"" MS</t>
  </si>
  <si>
    <t>Proceeds from maturities of MS</t>
  </si>
  <si>
    <t>Proceeds from sales of MS and SI</t>
  </si>
  <si>
    <t>CFFI</t>
  </si>
  <si>
    <t>Proceeds from Term Loan Facility</t>
  </si>
  <si>
    <t>Repayment of TLF</t>
  </si>
  <si>
    <t>Issuance of debt</t>
  </si>
  <si>
    <t>Repayment of senior notes</t>
  </si>
  <si>
    <t>Proceeds from settlement of capped call transactions</t>
  </si>
  <si>
    <t>Repurchases of Class A Common Stock</t>
  </si>
  <si>
    <t>Proceeds from other financing arrangements</t>
  </si>
  <si>
    <t>CFFF</t>
  </si>
  <si>
    <t>Net Change in cash</t>
  </si>
  <si>
    <t>FCF</t>
  </si>
  <si>
    <t>SBC %</t>
  </si>
  <si>
    <t>Products</t>
  </si>
  <si>
    <t>Jira</t>
  </si>
  <si>
    <t>planning and project management</t>
  </si>
  <si>
    <t>Jira Service Management</t>
  </si>
  <si>
    <t xml:space="preserve">Loom </t>
  </si>
  <si>
    <t>video collaboration</t>
  </si>
  <si>
    <t>US</t>
  </si>
  <si>
    <t>Other NA</t>
  </si>
  <si>
    <t>Germany</t>
  </si>
  <si>
    <t>Other EMEA</t>
  </si>
  <si>
    <t>AP</t>
  </si>
  <si>
    <t>Cloud</t>
  </si>
  <si>
    <t>Data Center</t>
  </si>
  <si>
    <t>Server</t>
  </si>
  <si>
    <t>Maketplace and other</t>
  </si>
  <si>
    <t>Q1 2022</t>
  </si>
  <si>
    <t>Q2 2022</t>
  </si>
  <si>
    <t>Q3 2022</t>
  </si>
  <si>
    <t>Q4 2022</t>
  </si>
  <si>
    <t>Q1 2023</t>
  </si>
  <si>
    <t>Q2 2023</t>
  </si>
  <si>
    <t>Q3 2023</t>
  </si>
  <si>
    <t>Q4 2023</t>
  </si>
  <si>
    <t>Q1 2024</t>
  </si>
  <si>
    <t>Q2 2024</t>
  </si>
  <si>
    <t>Q3 2024</t>
  </si>
  <si>
    <t>Q4 2024</t>
  </si>
  <si>
    <t>TTM FCF</t>
  </si>
  <si>
    <t>Net Cash</t>
  </si>
  <si>
    <t>Discount</t>
  </si>
  <si>
    <t>Maturity</t>
  </si>
  <si>
    <t>ROIC</t>
  </si>
  <si>
    <t>NPV</t>
  </si>
  <si>
    <t>Price</t>
  </si>
  <si>
    <t>EV/FCF</t>
  </si>
  <si>
    <t>Competition</t>
  </si>
  <si>
    <t>Software Teams</t>
  </si>
  <si>
    <t>Microsoft</t>
  </si>
  <si>
    <t>Microsoft (GitHub)</t>
  </si>
  <si>
    <t>IBM</t>
  </si>
  <si>
    <t>Gitlab</t>
  </si>
  <si>
    <t>IT Teams</t>
  </si>
  <si>
    <t>ServiceNow</t>
  </si>
  <si>
    <t>PagerDuty</t>
  </si>
  <si>
    <t>Freshworks</t>
  </si>
  <si>
    <t>BMC Software(Remedy)</t>
  </si>
  <si>
    <t>Business Teams</t>
  </si>
  <si>
    <t>Alphabet</t>
  </si>
  <si>
    <t>Asana</t>
  </si>
  <si>
    <t>Monday.com</t>
  </si>
  <si>
    <t>Notion</t>
  </si>
  <si>
    <t>Smartsheet</t>
  </si>
  <si>
    <t xml:space="preserve">Cloud </t>
  </si>
  <si>
    <t>S/O</t>
  </si>
  <si>
    <t>MC</t>
  </si>
  <si>
    <t>Cash</t>
  </si>
  <si>
    <t>Debt</t>
  </si>
  <si>
    <t>EV</t>
  </si>
  <si>
    <t>Ticket</t>
  </si>
  <si>
    <t>Founded</t>
  </si>
  <si>
    <t>Trello</t>
  </si>
  <si>
    <t>Visual project management</t>
  </si>
  <si>
    <t>Bitbucket</t>
  </si>
  <si>
    <t>hosting service for source code management</t>
  </si>
  <si>
    <t>Founders</t>
  </si>
  <si>
    <t>HQ</t>
  </si>
  <si>
    <t>Sydney, Australia</t>
  </si>
  <si>
    <t>Mike Cannon-Brookes</t>
  </si>
  <si>
    <t>Mike Cannon-Brookes, Scott Farquhar</t>
  </si>
  <si>
    <t>IPO</t>
  </si>
  <si>
    <t>Business Model</t>
  </si>
  <si>
    <t>SaaS</t>
  </si>
  <si>
    <t>CEO</t>
  </si>
  <si>
    <t>Employees</t>
  </si>
  <si>
    <t>Notes:</t>
  </si>
  <si>
    <t>84% of the Fortune 500 are Atlassian customers</t>
  </si>
  <si>
    <t>$1M+ Customers</t>
  </si>
  <si>
    <t>Customers</t>
  </si>
  <si>
    <t>y/y</t>
  </si>
  <si>
    <t>Scott Farquhar</t>
  </si>
  <si>
    <t>Joe Binz</t>
  </si>
  <si>
    <t>Age</t>
  </si>
  <si>
    <t>Position</t>
  </si>
  <si>
    <t>Founder and CEO</t>
  </si>
  <si>
    <t>CFO</t>
  </si>
  <si>
    <t>Joined</t>
  </si>
  <si>
    <t>Q1 2025</t>
  </si>
  <si>
    <t>Amy Glancey</t>
  </si>
  <si>
    <t>Anu Bharadwaj</t>
  </si>
  <si>
    <t>Erika Fisher</t>
  </si>
  <si>
    <t>Rajeev Rajan</t>
  </si>
  <si>
    <t>Zeynep Ozdemir</t>
  </si>
  <si>
    <t>Chief of Staff</t>
  </si>
  <si>
    <t>President</t>
  </si>
  <si>
    <t>Active</t>
  </si>
  <si>
    <t>Y</t>
  </si>
  <si>
    <t>N</t>
  </si>
  <si>
    <t>Chief Marketing Officer</t>
  </si>
  <si>
    <t>Chief Administrative and Legal Officer</t>
  </si>
  <si>
    <t>Chief Technology Officer</t>
  </si>
  <si>
    <t>Q2 2025</t>
  </si>
  <si>
    <t xml:space="preserve">Run Rate </t>
  </si>
  <si>
    <t>EV/FCF RR</t>
  </si>
  <si>
    <t>Q3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</si>
</sst>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 ;_-[$$-409]* \-#,##0.00\ ;_-[$$-409]* &quot;-&quot;??_ ;_-@_ "/>
    <numFmt numFmtId="165" formatCode="0.0%"/>
    <numFmt numFmtId="166" formatCode="#,##0_ ;[Red]\-#,##0\ "/>
    <numFmt numFmtId="167" formatCode="0.0\x"/>
  </numFmts>
  <fonts count="10" x14ac:knownFonts="1">
    <font>
      <sz val="11"/>
      <color theme="1"/>
      <name val="Aptos Narrow"/>
      <family val="2"/>
      <scheme val="minor"/>
    </font>
    <font>
      <sz val="10"/>
      <color theme="1"/>
      <name val="Arial"/>
      <family val="2"/>
    </font>
    <font>
      <u/>
      <sz val="11"/>
      <color theme="10"/>
      <name val="Aptos Narrow"/>
      <family val="2"/>
      <scheme val="minor"/>
    </font>
    <font>
      <b/>
      <u/>
      <sz val="10"/>
      <color theme="10"/>
      <name val="Arial"/>
      <family val="2"/>
    </font>
    <font>
      <b/>
      <sz val="10"/>
      <color theme="1"/>
      <name val="Arial"/>
      <family val="2"/>
    </font>
    <font>
      <sz val="9"/>
      <color indexed="81"/>
      <name val="Tahoma"/>
      <family val="2"/>
    </font>
    <font>
      <b/>
      <sz val="9"/>
      <color indexed="81"/>
      <name val="Tahoma"/>
      <family val="2"/>
    </font>
    <font>
      <i/>
      <sz val="10"/>
      <color theme="1"/>
      <name val="Arial"/>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3" fontId="1" fillId="0" borderId="0" xfId="0" applyNumberFormat="1" applyFont="1"/>
    <xf numFmtId="0" fontId="3" fillId="0" borderId="0" xfId="1" applyFont="1"/>
    <xf numFmtId="0" fontId="4" fillId="0" borderId="0" xfId="0" applyFont="1"/>
    <xf numFmtId="3" fontId="4" fillId="0" borderId="0" xfId="0" applyNumberFormat="1" applyFont="1"/>
    <xf numFmtId="164" fontId="1" fillId="0" borderId="0" xfId="0" applyNumberFormat="1" applyFont="1"/>
    <xf numFmtId="9" fontId="1" fillId="0" borderId="0" xfId="0" applyNumberFormat="1" applyFont="1"/>
    <xf numFmtId="165" fontId="1" fillId="0" borderId="0" xfId="0" applyNumberFormat="1" applyFont="1"/>
    <xf numFmtId="165" fontId="4" fillId="0" borderId="0" xfId="0" applyNumberFormat="1" applyFont="1"/>
    <xf numFmtId="10" fontId="1" fillId="0" borderId="0" xfId="0" applyNumberFormat="1" applyFont="1"/>
    <xf numFmtId="166" fontId="1" fillId="0" borderId="0" xfId="0" applyNumberFormat="1" applyFont="1"/>
    <xf numFmtId="0" fontId="7" fillId="0" borderId="0" xfId="0" applyFont="1"/>
    <xf numFmtId="0" fontId="1" fillId="0" borderId="0" xfId="0" applyFont="1" applyAlignment="1">
      <alignment horizontal="left"/>
    </xf>
    <xf numFmtId="3" fontId="1" fillId="0" borderId="0" xfId="0" applyNumberFormat="1" applyFont="1" applyAlignment="1">
      <alignment horizontal="left"/>
    </xf>
    <xf numFmtId="167"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Revenue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7E8-4368-84DA-81776A33A0E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7E8-4368-84DA-81776A33A0E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7E8-4368-84DA-81776A33A0E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7E8-4368-84DA-81776A33A0E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7E8-4368-84DA-81776A33A0E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model!$B$8:$B$12</c:f>
              <c:strCache>
                <c:ptCount val="5"/>
                <c:pt idx="0">
                  <c:v>US</c:v>
                </c:pt>
                <c:pt idx="1">
                  <c:v>Other NA</c:v>
                </c:pt>
                <c:pt idx="2">
                  <c:v>Germany</c:v>
                </c:pt>
                <c:pt idx="3">
                  <c:v>Other EMEA</c:v>
                </c:pt>
                <c:pt idx="4">
                  <c:v>AP</c:v>
                </c:pt>
              </c:strCache>
            </c:strRef>
          </c:cat>
          <c:val>
            <c:numRef>
              <c:f>model!$AA$8:$AA$12</c:f>
              <c:numCache>
                <c:formatCode>#,##0</c:formatCode>
                <c:ptCount val="5"/>
                <c:pt idx="0">
                  <c:v>1847.194</c:v>
                </c:pt>
                <c:pt idx="1">
                  <c:v>278.24</c:v>
                </c:pt>
                <c:pt idx="2">
                  <c:v>442.06299999999999</c:v>
                </c:pt>
                <c:pt idx="3">
                  <c:v>1308.847</c:v>
                </c:pt>
                <c:pt idx="4">
                  <c:v>482.25900000000001</c:v>
                </c:pt>
              </c:numCache>
            </c:numRef>
          </c:val>
          <c:extLst>
            <c:ext xmlns:c16="http://schemas.microsoft.com/office/drawing/2014/chart" uri="{C3380CC4-5D6E-409C-BE32-E72D297353CC}">
              <c16:uniqueId val="{0000000A-77E8-4368-84DA-81776A33A0E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Revenue by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E95-4FDC-8A22-5701DFC93F9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E95-4FDC-8A22-5701DFC93F9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E95-4FDC-8A22-5701DFC93F9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E95-4FDC-8A22-5701DFC93F91}"/>
              </c:ext>
            </c:extLst>
          </c:dPt>
          <c:dLbls>
            <c:dLbl>
              <c:idx val="2"/>
              <c:layout>
                <c:manualLayout>
                  <c:x val="5.2459973753280841E-2"/>
                  <c:y val="8.680446194225721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E95-4FDC-8A22-5701DFC93F91}"/>
                </c:ext>
              </c:extLst>
            </c:dLbl>
            <c:dLbl>
              <c:idx val="3"/>
              <c:layout>
                <c:manualLayout>
                  <c:x val="3.7441601049868767E-2"/>
                  <c:y val="0.1054060950714493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E95-4FDC-8A22-5701DFC93F91}"/>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model!$B$14:$B$17</c:f>
              <c:strCache>
                <c:ptCount val="4"/>
                <c:pt idx="0">
                  <c:v>Cloud</c:v>
                </c:pt>
                <c:pt idx="1">
                  <c:v>Data Center</c:v>
                </c:pt>
                <c:pt idx="2">
                  <c:v>Server</c:v>
                </c:pt>
                <c:pt idx="3">
                  <c:v>Maketplace and other</c:v>
                </c:pt>
              </c:strCache>
            </c:strRef>
          </c:cat>
          <c:val>
            <c:numRef>
              <c:f>model!$AA$14:$AA$17</c:f>
              <c:numCache>
                <c:formatCode>#,##0</c:formatCode>
                <c:ptCount val="4"/>
                <c:pt idx="0">
                  <c:v>2698.8989999999999</c:v>
                </c:pt>
                <c:pt idx="1">
                  <c:v>1208.498</c:v>
                </c:pt>
                <c:pt idx="2">
                  <c:v>177.64500000000001</c:v>
                </c:pt>
                <c:pt idx="3">
                  <c:v>273.56099999999998</c:v>
                </c:pt>
              </c:numCache>
            </c:numRef>
          </c:val>
          <c:extLst>
            <c:ext xmlns:c16="http://schemas.microsoft.com/office/drawing/2014/chart" uri="{C3380CC4-5D6E-409C-BE32-E72D297353CC}">
              <c16:uniqueId val="{00000008-8E95-4FDC-8A22-5701DFC93F9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TTM FCF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model!$G$1:$P$1</c:f>
              <c:strCache>
                <c:ptCount val="10"/>
                <c:pt idx="0">
                  <c:v>Q1 2023</c:v>
                </c:pt>
                <c:pt idx="1">
                  <c:v>Q2 2023</c:v>
                </c:pt>
                <c:pt idx="2">
                  <c:v>Q3 2023</c:v>
                </c:pt>
                <c:pt idx="3">
                  <c:v>Q4 2023</c:v>
                </c:pt>
                <c:pt idx="4">
                  <c:v>Q1 2024</c:v>
                </c:pt>
                <c:pt idx="5">
                  <c:v>Q2 2024</c:v>
                </c:pt>
                <c:pt idx="6">
                  <c:v>Q3 2024</c:v>
                </c:pt>
                <c:pt idx="7">
                  <c:v>Q4 2024</c:v>
                </c:pt>
                <c:pt idx="8">
                  <c:v>Q1 2025</c:v>
                </c:pt>
                <c:pt idx="9">
                  <c:v>Q2 2025</c:v>
                </c:pt>
              </c:strCache>
            </c:strRef>
          </c:cat>
          <c:val>
            <c:numRef>
              <c:f>model!$G$85:$P$85</c:f>
              <c:numCache>
                <c:formatCode>#,##0</c:formatCode>
                <c:ptCount val="10"/>
                <c:pt idx="0">
                  <c:v>817.35400000000004</c:v>
                </c:pt>
                <c:pt idx="1">
                  <c:v>754.73599999999999</c:v>
                </c:pt>
                <c:pt idx="2">
                  <c:v>777.85800000000006</c:v>
                </c:pt>
                <c:pt idx="3">
                  <c:v>842.45900000000006</c:v>
                </c:pt>
                <c:pt idx="4">
                  <c:v>929.8</c:v>
                </c:pt>
                <c:pt idx="5">
                  <c:v>1067.576</c:v>
                </c:pt>
                <c:pt idx="6">
                  <c:v>1272.768</c:v>
                </c:pt>
                <c:pt idx="7">
                  <c:v>1415.5819999999999</c:v>
                </c:pt>
                <c:pt idx="8">
                  <c:v>1326.636</c:v>
                </c:pt>
                <c:pt idx="9">
                  <c:v>1403.616</c:v>
                </c:pt>
              </c:numCache>
            </c:numRef>
          </c:val>
          <c:extLst>
            <c:ext xmlns:c16="http://schemas.microsoft.com/office/drawing/2014/chart" uri="{C3380CC4-5D6E-409C-BE32-E72D297353CC}">
              <c16:uniqueId val="{00000000-59F5-420C-B099-7A8F529D6E30}"/>
            </c:ext>
          </c:extLst>
        </c:ser>
        <c:dLbls>
          <c:showLegendKey val="0"/>
          <c:showVal val="0"/>
          <c:showCatName val="0"/>
          <c:showSerName val="0"/>
          <c:showPercent val="0"/>
          <c:showBubbleSize val="0"/>
        </c:dLbls>
        <c:gapWidth val="219"/>
        <c:overlap val="-27"/>
        <c:axId val="317670047"/>
        <c:axId val="317669087"/>
      </c:barChart>
      <c:catAx>
        <c:axId val="317670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669087"/>
        <c:crosses val="autoZero"/>
        <c:auto val="1"/>
        <c:lblAlgn val="ctr"/>
        <c:lblOffset val="100"/>
        <c:noMultiLvlLbl val="0"/>
      </c:catAx>
      <c:valAx>
        <c:axId val="317669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670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9525</xdr:colOff>
      <xdr:row>1</xdr:row>
      <xdr:rowOff>9525</xdr:rowOff>
    </xdr:from>
    <xdr:to>
      <xdr:col>24</xdr:col>
      <xdr:colOff>314325</xdr:colOff>
      <xdr:row>18</xdr:row>
      <xdr:rowOff>0</xdr:rowOff>
    </xdr:to>
    <xdr:graphicFrame macro="">
      <xdr:nvGraphicFramePr>
        <xdr:cNvPr id="2" name="Chart 1">
          <a:extLst>
            <a:ext uri="{FF2B5EF4-FFF2-40B4-BE49-F238E27FC236}">
              <a16:creationId xmlns:a16="http://schemas.microsoft.com/office/drawing/2014/main" id="{41A7820E-A10B-4112-BF6E-111C4ABB0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19</xdr:row>
      <xdr:rowOff>0</xdr:rowOff>
    </xdr:from>
    <xdr:to>
      <xdr:col>24</xdr:col>
      <xdr:colOff>304800</xdr:colOff>
      <xdr:row>35</xdr:row>
      <xdr:rowOff>152400</xdr:rowOff>
    </xdr:to>
    <xdr:graphicFrame macro="">
      <xdr:nvGraphicFramePr>
        <xdr:cNvPr id="3" name="Chart 2">
          <a:extLst>
            <a:ext uri="{FF2B5EF4-FFF2-40B4-BE49-F238E27FC236}">
              <a16:creationId xmlns:a16="http://schemas.microsoft.com/office/drawing/2014/main" id="{4698E14A-0D89-4890-8101-A71EB0AAD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266700</xdr:colOff>
      <xdr:row>19</xdr:row>
      <xdr:rowOff>0</xdr:rowOff>
    </xdr:from>
    <xdr:to>
      <xdr:col>16</xdr:col>
      <xdr:colOff>447675</xdr:colOff>
      <xdr:row>35</xdr:row>
      <xdr:rowOff>152400</xdr:rowOff>
    </xdr:to>
    <xdr:graphicFrame macro="">
      <xdr:nvGraphicFramePr>
        <xdr:cNvPr id="4" name="Chart 3">
          <a:extLst>
            <a:ext uri="{FF2B5EF4-FFF2-40B4-BE49-F238E27FC236}">
              <a16:creationId xmlns:a16="http://schemas.microsoft.com/office/drawing/2014/main" id="{01297164-9FFE-435D-B2D5-14BE8076E3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27</xdr:col>
      <xdr:colOff>0</xdr:colOff>
      <xdr:row>0</xdr:row>
      <xdr:rowOff>8467</xdr:rowOff>
    </xdr:from>
    <xdr:to>
      <xdr:col>27</xdr:col>
      <xdr:colOff>0</xdr:colOff>
      <xdr:row>96</xdr:row>
      <xdr:rowOff>133145</xdr:rowOff>
    </xdr:to>
    <xdr:cxnSp macro="">
      <xdr:nvCxnSpPr>
        <xdr:cNvPr id="3" name="Straight Connector 2">
          <a:extLst>
            <a:ext uri="{FF2B5EF4-FFF2-40B4-BE49-F238E27FC236}">
              <a16:creationId xmlns:a16="http://schemas.microsoft.com/office/drawing/2014/main" id="{E2C91E6D-F5C4-A9A0-6C2B-427784615B73}"/>
            </a:ext>
          </a:extLst>
        </xdr:cNvPr>
        <xdr:cNvCxnSpPr/>
      </xdr:nvCxnSpPr>
      <xdr:spPr>
        <a:xfrm>
          <a:off x="14833600" y="8467"/>
          <a:ext cx="0" cy="1638067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en-GB</v>
    <v>a243h7</v>
    <v>268435456</v>
    <v>1</v>
    <v>Powered by Refinitiv</v>
    <v>0</v>
    <v>ATLASSIAN CORPORATION (XNAS:TEAM)</v>
    <v>2</v>
    <v>3</v>
    <v>Finance</v>
    <v>4</v>
    <v>325.99990000000003</v>
    <v>135.29</v>
    <v>1.0783</v>
    <v>-5.79</v>
    <v>-2.9238E-2</v>
    <v>USD</v>
    <v>Atlassian Corporation is a global technology company. The Company’s primary products include Jira for planning and project management, Confluence for content creation and sharing, Jira Service Management for team service, management and support applications, Loom for asynchronous video collaboration, and Rovo for unlocking organizational knowledge. The Atlassian platform is the common technology foundation for its products that drives connections between teams, information, and workflows. It enables modern and connected experiences across teams, tools, workflows, and data, including collaboration, analytics, automation, and artificial intelligence capabilities. The comprehensive data model, or Teamwork Graph, unifies and standardizes data across Atlassian products, third-party tools, and teams. Its Loom platform is a video messaging platform that helps users to communicate through shareable videos.</v>
    <v>12157</v>
    <v>Nasdaq Stock Market</v>
    <v>XNAS</v>
    <v>XNAS</v>
    <v>Level 6, 341 George Street, SYDNEY, NEW SOUTH WALES, 2000 AU</v>
    <v>200.82</v>
    <v>Software &amp; IT Services</v>
    <v>Stock</v>
    <v>45758.650268228906</v>
    <v>0</v>
    <v>190.95</v>
    <v>50366937672</v>
    <v>ATLASSIAN CORPORATION</v>
    <v>ATLASSIAN CORPORATION</v>
    <v>199.36</v>
    <v>0</v>
    <v>198.03</v>
    <v>192.24</v>
    <v>262000300</v>
    <v>TEAM</v>
    <v>ATLASSIAN CORPORATION (XNAS:TEAM)</v>
    <v>651004</v>
    <v>2902822</v>
    <v>2022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74D53-1BB5-409A-A4A9-097BD3FABC90}">
  <dimension ref="B2:N29"/>
  <sheetViews>
    <sheetView showGridLines="0" topLeftCell="G1" workbookViewId="0">
      <selection activeCell="M15" sqref="M15"/>
    </sheetView>
  </sheetViews>
  <sheetFormatPr defaultColWidth="9.109375" defaultRowHeight="13.2" x14ac:dyDescent="0.25"/>
  <cols>
    <col min="1" max="5" width="9.109375" style="1"/>
    <col min="6" max="6" width="10.5546875" style="1" customWidth="1"/>
    <col min="7" max="7" width="14.44140625" style="1" bestFit="1" customWidth="1"/>
    <col min="8" max="11" width="9.109375" style="1"/>
    <col min="12" max="12" width="10.5546875" style="1" bestFit="1" customWidth="1"/>
    <col min="13" max="13" width="11" style="1" bestFit="1" customWidth="1"/>
    <col min="14" max="16384" width="9.109375" style="1"/>
  </cols>
  <sheetData>
    <row r="2" spans="2:14" x14ac:dyDescent="0.25">
      <c r="B2" s="4" t="s">
        <v>57</v>
      </c>
      <c r="G2" s="4" t="s">
        <v>116</v>
      </c>
      <c r="H2" s="13">
        <v>2002</v>
      </c>
      <c r="L2" s="4" t="s">
        <v>115</v>
      </c>
      <c r="M2" s="1" t="e" vm="1">
        <v>#VALUE!</v>
      </c>
    </row>
    <row r="3" spans="2:14" x14ac:dyDescent="0.25">
      <c r="B3" s="1" t="s">
        <v>58</v>
      </c>
      <c r="C3" s="1" t="s">
        <v>59</v>
      </c>
      <c r="G3" s="4" t="s">
        <v>121</v>
      </c>
      <c r="H3" s="13" t="s">
        <v>125</v>
      </c>
      <c r="L3" s="4" t="s">
        <v>90</v>
      </c>
      <c r="M3" s="6" cm="1">
        <f t="array" aca="1" ref="M3" ca="1">+_FV(M2,"Price")</f>
        <v>192.24</v>
      </c>
    </row>
    <row r="4" spans="2:14" x14ac:dyDescent="0.25">
      <c r="B4" s="1" t="s">
        <v>60</v>
      </c>
      <c r="G4" s="4" t="s">
        <v>122</v>
      </c>
      <c r="H4" s="13" t="s">
        <v>123</v>
      </c>
      <c r="L4" s="4" t="s">
        <v>110</v>
      </c>
      <c r="M4" s="2">
        <f>163.992257+98.008049</f>
        <v>262.00030600000002</v>
      </c>
      <c r="N4" s="1" t="s">
        <v>83</v>
      </c>
    </row>
    <row r="5" spans="2:14" x14ac:dyDescent="0.25">
      <c r="B5" s="1" t="s">
        <v>61</v>
      </c>
      <c r="C5" s="1" t="s">
        <v>62</v>
      </c>
      <c r="G5" s="4" t="s">
        <v>126</v>
      </c>
      <c r="H5" s="13">
        <v>2015</v>
      </c>
      <c r="L5" s="4" t="s">
        <v>111</v>
      </c>
      <c r="M5" s="2">
        <f ca="1">+M3*M4</f>
        <v>50366.938825440004</v>
      </c>
    </row>
    <row r="6" spans="2:14" x14ac:dyDescent="0.25">
      <c r="B6" s="1" t="s">
        <v>117</v>
      </c>
      <c r="C6" s="1" t="s">
        <v>118</v>
      </c>
      <c r="G6" s="4" t="s">
        <v>127</v>
      </c>
      <c r="H6" s="13" t="s">
        <v>128</v>
      </c>
      <c r="L6" s="4" t="s">
        <v>112</v>
      </c>
      <c r="M6" s="2">
        <f>2217.604+251.629+222.299</f>
        <v>2691.5319999999997</v>
      </c>
      <c r="N6" s="1" t="s">
        <v>143</v>
      </c>
    </row>
    <row r="7" spans="2:14" x14ac:dyDescent="0.25">
      <c r="B7" s="1" t="s">
        <v>119</v>
      </c>
      <c r="C7" s="1" t="s">
        <v>120</v>
      </c>
      <c r="G7" s="4" t="s">
        <v>129</v>
      </c>
      <c r="H7" s="13" t="s">
        <v>124</v>
      </c>
      <c r="L7" s="4" t="s">
        <v>113</v>
      </c>
      <c r="M7" s="2">
        <v>986.78499999999997</v>
      </c>
      <c r="N7" s="1" t="s">
        <v>143</v>
      </c>
    </row>
    <row r="8" spans="2:14" x14ac:dyDescent="0.25">
      <c r="G8" s="4" t="s">
        <v>130</v>
      </c>
      <c r="H8" s="14">
        <v>12000</v>
      </c>
      <c r="L8" s="4" t="s">
        <v>114</v>
      </c>
      <c r="M8" s="2">
        <f ca="1">+M5-M6+M7</f>
        <v>48662.191825440008</v>
      </c>
    </row>
    <row r="9" spans="2:14" x14ac:dyDescent="0.25">
      <c r="H9" s="13"/>
    </row>
    <row r="10" spans="2:14" x14ac:dyDescent="0.25">
      <c r="B10" s="4" t="s">
        <v>92</v>
      </c>
      <c r="H10" s="13"/>
      <c r="L10" s="4" t="s">
        <v>91</v>
      </c>
      <c r="M10" s="15">
        <f ca="1">+M8/model!O85</f>
        <v>36.680891989543483</v>
      </c>
      <c r="N10" s="16"/>
    </row>
    <row r="11" spans="2:14" x14ac:dyDescent="0.25">
      <c r="B11" s="12" t="s">
        <v>93</v>
      </c>
      <c r="L11" s="13" t="s">
        <v>158</v>
      </c>
      <c r="M11" s="17">
        <f>+model!P84*4</f>
        <v>1444.9639999999999</v>
      </c>
      <c r="N11" s="17"/>
    </row>
    <row r="12" spans="2:14" x14ac:dyDescent="0.25">
      <c r="C12" s="4" t="s">
        <v>95</v>
      </c>
      <c r="L12" s="13" t="s">
        <v>159</v>
      </c>
      <c r="M12" s="15">
        <f ca="1">+M8/M11</f>
        <v>33.677096332808297</v>
      </c>
      <c r="N12" s="17"/>
    </row>
    <row r="13" spans="2:14" x14ac:dyDescent="0.25">
      <c r="C13" s="1" t="s">
        <v>96</v>
      </c>
      <c r="L13" s="13"/>
      <c r="M13" s="17"/>
      <c r="N13" s="17"/>
    </row>
    <row r="14" spans="2:14" x14ac:dyDescent="0.25">
      <c r="C14" s="1" t="s">
        <v>97</v>
      </c>
      <c r="L14" s="13"/>
      <c r="M14" s="15"/>
      <c r="N14" s="17"/>
    </row>
    <row r="15" spans="2:14" x14ac:dyDescent="0.25">
      <c r="B15" s="12" t="s">
        <v>98</v>
      </c>
      <c r="L15" s="13"/>
      <c r="M15" s="15"/>
      <c r="N15" s="17"/>
    </row>
    <row r="16" spans="2:14" x14ac:dyDescent="0.25">
      <c r="C16" s="4" t="s">
        <v>99</v>
      </c>
    </row>
    <row r="17" spans="2:3" x14ac:dyDescent="0.25">
      <c r="C17" s="1" t="s">
        <v>100</v>
      </c>
    </row>
    <row r="18" spans="2:3" x14ac:dyDescent="0.25">
      <c r="C18" s="1" t="s">
        <v>101</v>
      </c>
    </row>
    <row r="19" spans="2:3" x14ac:dyDescent="0.25">
      <c r="C19" s="1" t="s">
        <v>102</v>
      </c>
    </row>
    <row r="20" spans="2:3" x14ac:dyDescent="0.25">
      <c r="B20" s="12" t="s">
        <v>103</v>
      </c>
    </row>
    <row r="21" spans="2:3" x14ac:dyDescent="0.25">
      <c r="C21" s="1" t="s">
        <v>94</v>
      </c>
    </row>
    <row r="22" spans="2:3" x14ac:dyDescent="0.25">
      <c r="C22" s="1" t="s">
        <v>104</v>
      </c>
    </row>
    <row r="23" spans="2:3" x14ac:dyDescent="0.25">
      <c r="C23" s="4" t="s">
        <v>105</v>
      </c>
    </row>
    <row r="24" spans="2:3" x14ac:dyDescent="0.25">
      <c r="C24" s="1" t="s">
        <v>106</v>
      </c>
    </row>
    <row r="25" spans="2:3" x14ac:dyDescent="0.25">
      <c r="C25" s="1" t="s">
        <v>107</v>
      </c>
    </row>
    <row r="26" spans="2:3" x14ac:dyDescent="0.25">
      <c r="C26" s="1" t="s">
        <v>108</v>
      </c>
    </row>
    <row r="28" spans="2:3" x14ac:dyDescent="0.25">
      <c r="B28" s="4" t="s">
        <v>131</v>
      </c>
    </row>
    <row r="29" spans="2:3" x14ac:dyDescent="0.25">
      <c r="B29" s="1" t="s">
        <v>132</v>
      </c>
    </row>
  </sheetData>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440B-C111-4180-AC4A-DB272C1B7540}">
  <dimension ref="A1:CF91"/>
  <sheetViews>
    <sheetView tabSelected="1" zoomScale="90" zoomScaleNormal="90" workbookViewId="0">
      <pane xSplit="2" ySplit="1" topLeftCell="O2" activePane="bottomRight" state="frozen"/>
      <selection pane="topRight" activeCell="B1" sqref="B1"/>
      <selection pane="bottomLeft" activeCell="A2" sqref="A2"/>
      <selection pane="bottomRight" activeCell="AJ11" sqref="AJ11"/>
    </sheetView>
  </sheetViews>
  <sheetFormatPr defaultColWidth="9.109375" defaultRowHeight="13.2" x14ac:dyDescent="0.25"/>
  <cols>
    <col min="1" max="1" width="5.5546875" style="1" bestFit="1" customWidth="1"/>
    <col min="2" max="2" width="46.33203125" style="1" bestFit="1" customWidth="1"/>
    <col min="3" max="37" width="9.109375" style="1"/>
    <col min="38" max="38" width="11" style="1" bestFit="1" customWidth="1"/>
    <col min="39" max="16384" width="9.109375" style="1"/>
  </cols>
  <sheetData>
    <row r="1" spans="1:38" x14ac:dyDescent="0.25">
      <c r="A1" s="3" t="s">
        <v>4</v>
      </c>
      <c r="B1" s="4"/>
      <c r="C1" s="4" t="s">
        <v>72</v>
      </c>
      <c r="D1" s="4" t="s">
        <v>73</v>
      </c>
      <c r="E1" s="4" t="s">
        <v>74</v>
      </c>
      <c r="F1" s="4" t="s">
        <v>75</v>
      </c>
      <c r="G1" s="4" t="s">
        <v>76</v>
      </c>
      <c r="H1" s="4" t="s">
        <v>77</v>
      </c>
      <c r="I1" s="4" t="s">
        <v>78</v>
      </c>
      <c r="J1" s="4" t="s">
        <v>79</v>
      </c>
      <c r="K1" s="4" t="s">
        <v>80</v>
      </c>
      <c r="L1" s="4" t="s">
        <v>81</v>
      </c>
      <c r="M1" s="4" t="s">
        <v>82</v>
      </c>
      <c r="N1" s="4" t="s">
        <v>83</v>
      </c>
      <c r="O1" s="4" t="s">
        <v>143</v>
      </c>
      <c r="P1" s="4" t="s">
        <v>157</v>
      </c>
      <c r="Q1" s="4" t="s">
        <v>160</v>
      </c>
      <c r="R1" s="4"/>
      <c r="S1" s="4">
        <f>+T1-1</f>
        <v>2016</v>
      </c>
      <c r="T1" s="4">
        <f t="shared" ref="T1:W1" si="0">+U1-1</f>
        <v>2017</v>
      </c>
      <c r="U1" s="4">
        <f t="shared" si="0"/>
        <v>2018</v>
      </c>
      <c r="V1" s="4">
        <f t="shared" si="0"/>
        <v>2019</v>
      </c>
      <c r="W1" s="4">
        <f t="shared" si="0"/>
        <v>2020</v>
      </c>
      <c r="X1" s="4">
        <f>+Y1-1</f>
        <v>2021</v>
      </c>
      <c r="Y1" s="4">
        <v>2022</v>
      </c>
      <c r="Z1" s="4">
        <f>+Y1+1</f>
        <v>2023</v>
      </c>
      <c r="AA1" s="4">
        <f t="shared" ref="AA1:AI1" si="1">+Z1+1</f>
        <v>2024</v>
      </c>
      <c r="AB1" s="4">
        <f t="shared" si="1"/>
        <v>2025</v>
      </c>
      <c r="AC1" s="4">
        <f t="shared" si="1"/>
        <v>2026</v>
      </c>
      <c r="AD1" s="4">
        <f t="shared" si="1"/>
        <v>2027</v>
      </c>
      <c r="AE1" s="4">
        <f t="shared" si="1"/>
        <v>2028</v>
      </c>
      <c r="AF1" s="4">
        <f t="shared" si="1"/>
        <v>2029</v>
      </c>
      <c r="AG1" s="4">
        <f t="shared" si="1"/>
        <v>2030</v>
      </c>
      <c r="AH1" s="4">
        <f t="shared" si="1"/>
        <v>2031</v>
      </c>
      <c r="AI1" s="4">
        <f t="shared" si="1"/>
        <v>2032</v>
      </c>
    </row>
    <row r="2" spans="1:38" x14ac:dyDescent="0.25">
      <c r="A2" s="3"/>
      <c r="B2" s="1" t="s">
        <v>134</v>
      </c>
      <c r="P2" s="2">
        <v>300000</v>
      </c>
    </row>
    <row r="3" spans="1:38" x14ac:dyDescent="0.25">
      <c r="A3" s="3"/>
      <c r="B3" s="4"/>
      <c r="C3" s="4"/>
      <c r="D3" s="4"/>
      <c r="E3" s="4"/>
      <c r="F3" s="4"/>
      <c r="G3" s="4"/>
      <c r="H3" s="4"/>
      <c r="I3" s="4"/>
      <c r="J3" s="4"/>
      <c r="K3" s="4"/>
      <c r="L3" s="4"/>
      <c r="M3" s="4"/>
      <c r="N3" s="4"/>
      <c r="O3" s="4"/>
      <c r="P3" s="5"/>
      <c r="Q3" s="4"/>
      <c r="R3" s="4"/>
      <c r="S3" s="4"/>
      <c r="T3" s="4"/>
      <c r="U3" s="4"/>
      <c r="V3" s="4"/>
      <c r="W3" s="4"/>
      <c r="X3" s="4"/>
      <c r="Y3" s="4"/>
      <c r="Z3" s="4"/>
      <c r="AA3" s="4"/>
      <c r="AB3" s="4"/>
      <c r="AC3" s="4"/>
      <c r="AD3" s="4"/>
      <c r="AE3" s="4"/>
      <c r="AF3" s="4"/>
      <c r="AG3" s="4"/>
      <c r="AH3" s="4"/>
      <c r="AI3" s="4"/>
    </row>
    <row r="4" spans="1:38" x14ac:dyDescent="0.25">
      <c r="B4" s="1" t="s">
        <v>0</v>
      </c>
      <c r="C4" s="2">
        <v>435.29599999999999</v>
      </c>
      <c r="D4" s="2">
        <v>508.98700000000002</v>
      </c>
      <c r="E4" s="2">
        <v>555.12599999999998</v>
      </c>
      <c r="F4" s="2">
        <v>597.29700000000003</v>
      </c>
      <c r="G4" s="2">
        <v>650.98400000000004</v>
      </c>
      <c r="H4" s="2">
        <v>711.19899999999996</v>
      </c>
      <c r="I4" s="2">
        <v>760.68</v>
      </c>
      <c r="J4" s="2">
        <f>+Z4-SUM(G4:I4)</f>
        <v>799.71300000000019</v>
      </c>
      <c r="K4" s="2">
        <v>851.98199999999997</v>
      </c>
      <c r="L4" s="2">
        <v>932.18100000000004</v>
      </c>
      <c r="M4" s="2">
        <v>1071.355</v>
      </c>
      <c r="N4" s="2">
        <f>+AA4-SUM(K4:M4)</f>
        <v>1068.8710000000001</v>
      </c>
      <c r="O4" s="2">
        <v>1131.9480000000001</v>
      </c>
      <c r="P4" s="2">
        <v>1213.248</v>
      </c>
      <c r="Y4" s="2">
        <v>2096.7060000000001</v>
      </c>
      <c r="Z4" s="2">
        <v>2922.576</v>
      </c>
      <c r="AA4" s="2">
        <v>3924.3890000000001</v>
      </c>
      <c r="AB4" s="2">
        <f>+AA4*1.25</f>
        <v>4905.4862499999999</v>
      </c>
      <c r="AC4" s="2">
        <f t="shared" ref="AC4:AF4" si="2">+AB4*1.25</f>
        <v>6131.8578125000004</v>
      </c>
      <c r="AD4" s="2">
        <f t="shared" si="2"/>
        <v>7664.822265625</v>
      </c>
      <c r="AE4" s="2">
        <f t="shared" si="2"/>
        <v>9581.02783203125</v>
      </c>
      <c r="AF4" s="2">
        <f t="shared" si="2"/>
        <v>11976.284790039063</v>
      </c>
      <c r="AG4" s="2">
        <f t="shared" ref="AG4" si="3">+AF4*1.2</f>
        <v>14371.541748046875</v>
      </c>
      <c r="AH4" s="2">
        <f t="shared" ref="AH4:AI4" si="4">+AG4*1.18</f>
        <v>16958.419262695312</v>
      </c>
      <c r="AI4" s="2">
        <f t="shared" si="4"/>
        <v>20010.934729980469</v>
      </c>
    </row>
    <row r="5" spans="1:38" x14ac:dyDescent="0.25">
      <c r="B5" s="1" t="s">
        <v>1</v>
      </c>
      <c r="C5" s="2">
        <v>130.59</v>
      </c>
      <c r="D5" s="2">
        <v>127.059</v>
      </c>
      <c r="E5" s="2">
        <v>120.333</v>
      </c>
      <c r="F5" s="2">
        <v>117.095</v>
      </c>
      <c r="G5" s="2">
        <v>113.565</v>
      </c>
      <c r="H5" s="2">
        <v>106.023</v>
      </c>
      <c r="I5" s="2">
        <v>94.224999999999994</v>
      </c>
      <c r="J5" s="2">
        <f t="shared" ref="J5:J6" si="5">+Z5-SUM(G5:I5)</f>
        <v>85.925000000000011</v>
      </c>
      <c r="K5" s="2">
        <v>78.597999999999999</v>
      </c>
      <c r="L5" s="2">
        <v>69.102000000000004</v>
      </c>
      <c r="M5" s="2">
        <v>29.53</v>
      </c>
      <c r="N5" s="2">
        <f t="shared" ref="N5:N6" si="6">+AA5-SUM(K5:M5)</f>
        <v>0</v>
      </c>
      <c r="O5" s="2"/>
      <c r="P5" s="2"/>
      <c r="Y5" s="2">
        <v>495.077</v>
      </c>
      <c r="Z5" s="2">
        <v>399.738</v>
      </c>
      <c r="AA5" s="2">
        <v>177.23</v>
      </c>
      <c r="AB5" s="2">
        <f>+AA5*0.97</f>
        <v>171.91309999999999</v>
      </c>
      <c r="AC5" s="2">
        <f t="shared" ref="AC5:AI5" si="7">+AB5*0.97</f>
        <v>166.75570699999997</v>
      </c>
      <c r="AD5" s="2">
        <f t="shared" si="7"/>
        <v>161.75303578999996</v>
      </c>
      <c r="AE5" s="2">
        <f t="shared" si="7"/>
        <v>156.90044471629994</v>
      </c>
      <c r="AF5" s="2">
        <f t="shared" si="7"/>
        <v>152.19343137481093</v>
      </c>
      <c r="AG5" s="2">
        <f t="shared" si="7"/>
        <v>147.6276284335666</v>
      </c>
      <c r="AH5" s="2">
        <f t="shared" si="7"/>
        <v>143.19879958055961</v>
      </c>
      <c r="AI5" s="2">
        <f t="shared" si="7"/>
        <v>138.90283559314281</v>
      </c>
    </row>
    <row r="6" spans="1:38" x14ac:dyDescent="0.25">
      <c r="B6" s="1" t="s">
        <v>2</v>
      </c>
      <c r="C6" s="2">
        <v>48.137999999999998</v>
      </c>
      <c r="D6" s="2">
        <v>52.48</v>
      </c>
      <c r="E6" s="2">
        <v>65.031999999999996</v>
      </c>
      <c r="F6" s="2">
        <v>45.448999999999998</v>
      </c>
      <c r="G6" s="2">
        <v>42.843000000000004</v>
      </c>
      <c r="H6" s="2">
        <v>55.481999999999999</v>
      </c>
      <c r="I6" s="2">
        <v>60.548000000000002</v>
      </c>
      <c r="J6" s="2">
        <f t="shared" si="5"/>
        <v>53.460000000000008</v>
      </c>
      <c r="K6" s="2">
        <v>47.195</v>
      </c>
      <c r="L6" s="2">
        <v>58.826999999999998</v>
      </c>
      <c r="M6" s="2">
        <v>88.242999999999995</v>
      </c>
      <c r="N6" s="2">
        <f t="shared" si="6"/>
        <v>62.718999999999994</v>
      </c>
      <c r="O6" s="2">
        <v>55.832999999999998</v>
      </c>
      <c r="P6" s="2">
        <v>73.215000000000003</v>
      </c>
      <c r="Y6" s="2">
        <v>211.09899999999999</v>
      </c>
      <c r="Z6" s="2">
        <v>212.333</v>
      </c>
      <c r="AA6" s="2">
        <v>256.98399999999998</v>
      </c>
      <c r="AB6" s="2">
        <f>+AA6*1.04</f>
        <v>267.26335999999998</v>
      </c>
      <c r="AC6" s="2">
        <f t="shared" ref="AC6:AI6" si="8">+AB6*1.04</f>
        <v>277.95389439999997</v>
      </c>
      <c r="AD6" s="2">
        <f t="shared" si="8"/>
        <v>289.07205017599995</v>
      </c>
      <c r="AE6" s="2">
        <f t="shared" si="8"/>
        <v>300.63493218303995</v>
      </c>
      <c r="AF6" s="2">
        <f t="shared" si="8"/>
        <v>312.66032947036155</v>
      </c>
      <c r="AG6" s="2">
        <f t="shared" si="8"/>
        <v>325.166742649176</v>
      </c>
      <c r="AH6" s="2">
        <f t="shared" si="8"/>
        <v>338.17341235514306</v>
      </c>
      <c r="AI6" s="2">
        <f t="shared" si="8"/>
        <v>351.70034884934881</v>
      </c>
    </row>
    <row r="7" spans="1:38" x14ac:dyDescent="0.25">
      <c r="P7" s="2"/>
      <c r="Y7" s="2"/>
      <c r="Z7" s="2"/>
      <c r="AA7" s="2"/>
      <c r="AB7" s="2"/>
      <c r="AC7" s="2"/>
      <c r="AD7" s="2"/>
      <c r="AE7" s="2"/>
      <c r="AF7" s="2"/>
      <c r="AG7" s="2"/>
      <c r="AH7" s="2"/>
      <c r="AI7" s="2"/>
    </row>
    <row r="8" spans="1:38" x14ac:dyDescent="0.25">
      <c r="B8" s="1" t="s">
        <v>63</v>
      </c>
      <c r="C8" s="2"/>
      <c r="D8" s="2"/>
      <c r="E8" s="2"/>
      <c r="F8" s="2"/>
      <c r="G8" s="2"/>
      <c r="H8" s="2"/>
      <c r="I8" s="2"/>
      <c r="J8" s="2"/>
      <c r="K8" s="2"/>
      <c r="L8" s="2">
        <v>445.62200000000001</v>
      </c>
      <c r="M8" s="2"/>
      <c r="N8" s="2"/>
      <c r="O8" s="2"/>
      <c r="P8" s="2">
        <v>537.39599999999996</v>
      </c>
      <c r="Y8" s="2">
        <v>1230.8009999999999</v>
      </c>
      <c r="Z8" s="2">
        <v>1537.328</v>
      </c>
      <c r="AA8" s="2">
        <v>1847.194</v>
      </c>
      <c r="AB8" s="2"/>
      <c r="AC8" s="2"/>
      <c r="AD8" s="2"/>
      <c r="AE8" s="2"/>
      <c r="AF8" s="2"/>
      <c r="AG8" s="2"/>
      <c r="AH8" s="2"/>
      <c r="AI8" s="2"/>
    </row>
    <row r="9" spans="1:38" x14ac:dyDescent="0.25">
      <c r="B9" s="1" t="s">
        <v>64</v>
      </c>
      <c r="C9" s="2"/>
      <c r="D9" s="2"/>
      <c r="E9" s="2"/>
      <c r="F9" s="2"/>
      <c r="G9" s="2"/>
      <c r="H9" s="2"/>
      <c r="I9" s="2"/>
      <c r="J9" s="2"/>
      <c r="K9" s="2"/>
      <c r="L9" s="2">
        <v>68.811999999999998</v>
      </c>
      <c r="M9" s="2"/>
      <c r="N9" s="2"/>
      <c r="O9" s="2"/>
      <c r="P9" s="2">
        <v>81.769000000000005</v>
      </c>
      <c r="Y9" s="2">
        <v>178.06700000000001</v>
      </c>
      <c r="Z9" s="2">
        <v>227.83799999999999</v>
      </c>
      <c r="AA9" s="2">
        <v>278.24</v>
      </c>
      <c r="AB9" s="2"/>
      <c r="AC9" s="2"/>
      <c r="AD9" s="2"/>
      <c r="AE9" s="2"/>
      <c r="AF9" s="2"/>
      <c r="AG9" s="2"/>
      <c r="AH9" s="2"/>
      <c r="AI9" s="2"/>
      <c r="AK9" s="1" t="s">
        <v>86</v>
      </c>
      <c r="AL9" s="8">
        <v>0.1</v>
      </c>
    </row>
    <row r="10" spans="1:38" x14ac:dyDescent="0.25">
      <c r="B10" s="1" t="s">
        <v>65</v>
      </c>
      <c r="C10" s="2"/>
      <c r="D10" s="2"/>
      <c r="E10" s="2"/>
      <c r="F10" s="2"/>
      <c r="G10" s="2"/>
      <c r="H10" s="2"/>
      <c r="I10" s="2"/>
      <c r="J10" s="2"/>
      <c r="K10" s="2"/>
      <c r="L10" s="2">
        <v>104.596</v>
      </c>
      <c r="M10" s="2"/>
      <c r="N10" s="2"/>
      <c r="O10" s="2"/>
      <c r="P10" s="2">
        <v>131.99100000000001</v>
      </c>
      <c r="Y10" s="2">
        <v>249.227</v>
      </c>
      <c r="Z10" s="2">
        <v>330.04599999999999</v>
      </c>
      <c r="AA10" s="2">
        <v>442.06299999999999</v>
      </c>
      <c r="AB10" s="2"/>
      <c r="AC10" s="2"/>
      <c r="AD10" s="2"/>
      <c r="AE10" s="2"/>
      <c r="AF10" s="2"/>
      <c r="AG10" s="2"/>
      <c r="AH10" s="2"/>
      <c r="AI10" s="2"/>
      <c r="AK10" s="1" t="s">
        <v>87</v>
      </c>
      <c r="AL10" s="7">
        <v>0.05</v>
      </c>
    </row>
    <row r="11" spans="1:38" x14ac:dyDescent="0.25">
      <c r="B11" s="1" t="s">
        <v>66</v>
      </c>
      <c r="C11" s="2"/>
      <c r="D11" s="2"/>
      <c r="E11" s="2"/>
      <c r="F11" s="2"/>
      <c r="G11" s="2"/>
      <c r="H11" s="2"/>
      <c r="I11" s="2"/>
      <c r="J11" s="2"/>
      <c r="K11" s="2"/>
      <c r="L11" s="2">
        <v>320.69600000000003</v>
      </c>
      <c r="M11" s="2"/>
      <c r="N11" s="2"/>
      <c r="O11" s="2"/>
      <c r="P11" s="2">
        <v>393.49099999999999</v>
      </c>
      <c r="Y11" s="2">
        <v>828.11099999999999</v>
      </c>
      <c r="Z11" s="2">
        <v>1036.693</v>
      </c>
      <c r="AA11" s="2">
        <v>1308.847</v>
      </c>
      <c r="AB11" s="2"/>
      <c r="AC11" s="2"/>
      <c r="AD11" s="2"/>
      <c r="AE11" s="2"/>
      <c r="AF11" s="2"/>
      <c r="AG11" s="2"/>
      <c r="AH11" s="2"/>
      <c r="AI11" s="2"/>
      <c r="AK11" s="1" t="s">
        <v>88</v>
      </c>
      <c r="AL11" s="10">
        <v>0.12</v>
      </c>
    </row>
    <row r="12" spans="1:38" x14ac:dyDescent="0.25">
      <c r="B12" s="1" t="s">
        <v>67</v>
      </c>
      <c r="C12" s="2"/>
      <c r="D12" s="2"/>
      <c r="E12" s="2"/>
      <c r="F12" s="2"/>
      <c r="G12" s="2"/>
      <c r="H12" s="2"/>
      <c r="I12" s="2"/>
      <c r="J12" s="2"/>
      <c r="K12" s="2"/>
      <c r="L12" s="2">
        <v>120.384</v>
      </c>
      <c r="M12" s="2"/>
      <c r="N12" s="2"/>
      <c r="O12" s="2"/>
      <c r="P12" s="2">
        <v>141.816</v>
      </c>
      <c r="Y12" s="2">
        <v>316.67599999999999</v>
      </c>
      <c r="Z12" s="2">
        <v>402.74200000000002</v>
      </c>
      <c r="AA12" s="2">
        <v>482.25900000000001</v>
      </c>
      <c r="AB12" s="2"/>
      <c r="AC12" s="2"/>
      <c r="AD12" s="2"/>
      <c r="AE12" s="2"/>
      <c r="AF12" s="2"/>
      <c r="AG12" s="2"/>
      <c r="AH12" s="2"/>
      <c r="AI12" s="2"/>
      <c r="AK12" s="1" t="s">
        <v>89</v>
      </c>
      <c r="AL12" s="11">
        <f>+NPV(AL9,AB31:CF31)+AA88</f>
        <v>68633.691850899035</v>
      </c>
    </row>
    <row r="13" spans="1:38" x14ac:dyDescent="0.25">
      <c r="P13" s="2"/>
      <c r="Y13" s="2"/>
      <c r="Z13" s="2"/>
      <c r="AA13" s="2"/>
      <c r="AB13" s="2"/>
      <c r="AC13" s="2"/>
      <c r="AD13" s="2"/>
      <c r="AE13" s="2"/>
      <c r="AF13" s="2"/>
      <c r="AG13" s="2"/>
      <c r="AH13" s="2"/>
      <c r="AI13" s="2"/>
      <c r="AK13" s="1" t="s">
        <v>90</v>
      </c>
      <c r="AL13" s="6">
        <f>+AL12/N32</f>
        <v>263.64516740893737</v>
      </c>
    </row>
    <row r="14" spans="1:38" x14ac:dyDescent="0.25">
      <c r="B14" s="1" t="s">
        <v>68</v>
      </c>
      <c r="C14" s="2"/>
      <c r="D14" s="2"/>
      <c r="E14" s="2"/>
      <c r="F14" s="2"/>
      <c r="G14" s="2"/>
      <c r="H14" s="2"/>
      <c r="I14" s="2"/>
      <c r="J14" s="2"/>
      <c r="K14" s="2"/>
      <c r="L14" s="2">
        <v>653.21</v>
      </c>
      <c r="M14" s="2"/>
      <c r="N14" s="2"/>
      <c r="O14" s="2">
        <v>792.30600000000004</v>
      </c>
      <c r="P14" s="2">
        <v>846.96199999999999</v>
      </c>
      <c r="Y14" s="2">
        <v>1515.424</v>
      </c>
      <c r="Z14" s="2">
        <v>2085.498</v>
      </c>
      <c r="AA14" s="2">
        <v>2698.8989999999999</v>
      </c>
      <c r="AB14" s="2"/>
      <c r="AC14" s="2"/>
      <c r="AD14" s="2"/>
      <c r="AE14" s="2"/>
      <c r="AF14" s="2"/>
      <c r="AG14" s="2"/>
      <c r="AH14" s="2"/>
      <c r="AI14" s="2"/>
    </row>
    <row r="15" spans="1:38" x14ac:dyDescent="0.25">
      <c r="B15" s="1" t="s">
        <v>69</v>
      </c>
      <c r="C15" s="2"/>
      <c r="D15" s="2"/>
      <c r="E15" s="2"/>
      <c r="F15" s="2"/>
      <c r="G15" s="2"/>
      <c r="H15" s="2"/>
      <c r="I15" s="2"/>
      <c r="J15" s="2"/>
      <c r="K15" s="2"/>
      <c r="L15" s="2">
        <v>274.75799999999998</v>
      </c>
      <c r="M15" s="2"/>
      <c r="N15" s="2"/>
      <c r="O15" s="2">
        <v>335.59399999999999</v>
      </c>
      <c r="P15" s="2">
        <v>362.28100000000001</v>
      </c>
      <c r="Y15" s="2">
        <v>560.31899999999996</v>
      </c>
      <c r="Z15" s="2">
        <v>819.25099999999998</v>
      </c>
      <c r="AA15" s="2">
        <v>1208.498</v>
      </c>
      <c r="AB15" s="2"/>
      <c r="AC15" s="2"/>
      <c r="AD15" s="2"/>
      <c r="AE15" s="2"/>
      <c r="AF15" s="2"/>
      <c r="AG15" s="2"/>
      <c r="AH15" s="2"/>
      <c r="AI15" s="2"/>
    </row>
    <row r="16" spans="1:38" x14ac:dyDescent="0.25">
      <c r="B16" s="1" t="s">
        <v>70</v>
      </c>
      <c r="C16" s="2"/>
      <c r="D16" s="2"/>
      <c r="E16" s="2"/>
      <c r="F16" s="2"/>
      <c r="G16" s="2"/>
      <c r="H16" s="2"/>
      <c r="I16" s="2"/>
      <c r="J16" s="2"/>
      <c r="K16" s="2"/>
      <c r="L16" s="2">
        <v>69.173000000000002</v>
      </c>
      <c r="M16" s="2"/>
      <c r="N16" s="2"/>
      <c r="O16" s="2"/>
      <c r="P16" s="2"/>
      <c r="Y16" s="2">
        <v>525.02800000000002</v>
      </c>
      <c r="Z16" s="2">
        <v>400.51900000000001</v>
      </c>
      <c r="AA16" s="2">
        <v>177.64500000000001</v>
      </c>
      <c r="AB16" s="2"/>
      <c r="AC16" s="2"/>
      <c r="AD16" s="2"/>
      <c r="AE16" s="2"/>
      <c r="AF16" s="2"/>
      <c r="AG16" s="2"/>
      <c r="AH16" s="2"/>
      <c r="AI16" s="2"/>
    </row>
    <row r="17" spans="2:84" x14ac:dyDescent="0.25">
      <c r="B17" s="1" t="s">
        <v>71</v>
      </c>
      <c r="C17" s="2"/>
      <c r="D17" s="2"/>
      <c r="E17" s="2"/>
      <c r="F17" s="2"/>
      <c r="G17" s="2"/>
      <c r="H17" s="2"/>
      <c r="I17" s="2"/>
      <c r="J17" s="2"/>
      <c r="K17" s="2"/>
      <c r="L17" s="2">
        <v>62.969000000000001</v>
      </c>
      <c r="M17" s="2"/>
      <c r="N17" s="2"/>
      <c r="O17" s="2">
        <v>59.881</v>
      </c>
      <c r="P17" s="2">
        <v>77.22</v>
      </c>
      <c r="Y17" s="2">
        <v>202.11099999999999</v>
      </c>
      <c r="Z17" s="2">
        <v>229.37899999999999</v>
      </c>
      <c r="AA17" s="2">
        <v>273.56099999999998</v>
      </c>
      <c r="AB17" s="2"/>
      <c r="AC17" s="2"/>
      <c r="AD17" s="2"/>
      <c r="AE17" s="2"/>
      <c r="AF17" s="2"/>
      <c r="AG17" s="2"/>
      <c r="AH17" s="2"/>
      <c r="AI17" s="2"/>
    </row>
    <row r="18" spans="2:84" x14ac:dyDescent="0.25">
      <c r="P18" s="2"/>
      <c r="Y18" s="2"/>
      <c r="Z18" s="2"/>
      <c r="AA18" s="2"/>
      <c r="AB18" s="2"/>
      <c r="AC18" s="2"/>
      <c r="AD18" s="2"/>
      <c r="AE18" s="2"/>
      <c r="AF18" s="2"/>
      <c r="AG18" s="2"/>
      <c r="AH18" s="2"/>
      <c r="AI18" s="2"/>
    </row>
    <row r="19" spans="2:84" x14ac:dyDescent="0.25">
      <c r="B19" s="4" t="s">
        <v>3</v>
      </c>
      <c r="C19" s="5">
        <f t="shared" ref="C19:P19" si="9">+SUM(C4:C6)</f>
        <v>614.024</v>
      </c>
      <c r="D19" s="5">
        <f t="shared" si="9"/>
        <v>688.52600000000007</v>
      </c>
      <c r="E19" s="5">
        <f t="shared" si="9"/>
        <v>740.49099999999999</v>
      </c>
      <c r="F19" s="5">
        <f t="shared" si="9"/>
        <v>759.84100000000001</v>
      </c>
      <c r="G19" s="5">
        <f t="shared" si="9"/>
        <v>807.39199999999994</v>
      </c>
      <c r="H19" s="5">
        <f t="shared" si="9"/>
        <v>872.70399999999995</v>
      </c>
      <c r="I19" s="5">
        <f t="shared" si="9"/>
        <v>915.45299999999997</v>
      </c>
      <c r="J19" s="5">
        <f t="shared" si="9"/>
        <v>939.09800000000018</v>
      </c>
      <c r="K19" s="5">
        <f t="shared" si="9"/>
        <v>977.77499999999998</v>
      </c>
      <c r="L19" s="5">
        <f t="shared" si="9"/>
        <v>1060.1100000000001</v>
      </c>
      <c r="M19" s="5">
        <f t="shared" si="9"/>
        <v>1189.1279999999999</v>
      </c>
      <c r="N19" s="5">
        <f t="shared" si="9"/>
        <v>1131.5900000000001</v>
      </c>
      <c r="O19" s="5">
        <f t="shared" si="9"/>
        <v>1187.7810000000002</v>
      </c>
      <c r="P19" s="5">
        <f t="shared" si="9"/>
        <v>1286.463</v>
      </c>
      <c r="Q19" s="4"/>
      <c r="R19" s="4"/>
      <c r="S19" s="5">
        <v>457.1</v>
      </c>
      <c r="T19" s="5">
        <v>626.70000000000005</v>
      </c>
      <c r="U19" s="5">
        <v>881</v>
      </c>
      <c r="V19" s="5">
        <v>1210.0999999999999</v>
      </c>
      <c r="W19" s="5">
        <v>1614.2</v>
      </c>
      <c r="X19" s="5">
        <v>2089.1</v>
      </c>
      <c r="Y19" s="5">
        <f t="shared" ref="Y19:AI19" si="10">+SUM(Y4:Y6)</f>
        <v>2802.8820000000005</v>
      </c>
      <c r="Z19" s="5">
        <f t="shared" si="10"/>
        <v>3534.6469999999999</v>
      </c>
      <c r="AA19" s="5">
        <f t="shared" si="10"/>
        <v>4358.6030000000001</v>
      </c>
      <c r="AB19" s="5">
        <f t="shared" si="10"/>
        <v>5344.6627099999996</v>
      </c>
      <c r="AC19" s="5">
        <f t="shared" si="10"/>
        <v>6576.5674139000002</v>
      </c>
      <c r="AD19" s="5">
        <f t="shared" si="10"/>
        <v>8115.6473515909993</v>
      </c>
      <c r="AE19" s="5">
        <f t="shared" si="10"/>
        <v>10038.563208930591</v>
      </c>
      <c r="AF19" s="5">
        <f t="shared" si="10"/>
        <v>12441.138550884236</v>
      </c>
      <c r="AG19" s="5">
        <f t="shared" si="10"/>
        <v>14844.336119129619</v>
      </c>
      <c r="AH19" s="5">
        <f t="shared" si="10"/>
        <v>17439.791474631016</v>
      </c>
      <c r="AI19" s="5">
        <f t="shared" si="10"/>
        <v>20501.537914422963</v>
      </c>
    </row>
    <row r="20" spans="2:84" x14ac:dyDescent="0.25">
      <c r="B20" s="1" t="s">
        <v>5</v>
      </c>
      <c r="C20" s="2">
        <v>98.018000000000001</v>
      </c>
      <c r="D20" s="2">
        <v>115.161</v>
      </c>
      <c r="E20" s="2">
        <v>119.374</v>
      </c>
      <c r="F20" s="2">
        <v>133.154</v>
      </c>
      <c r="G20" s="2">
        <v>139.392</v>
      </c>
      <c r="H20" s="2">
        <v>155.94499999999999</v>
      </c>
      <c r="I20" s="2">
        <v>168.65199999999999</v>
      </c>
      <c r="J20" s="2">
        <v>169.77600000000001</v>
      </c>
      <c r="K20" s="2">
        <v>178.029</v>
      </c>
      <c r="L20" s="2">
        <v>194.536</v>
      </c>
      <c r="M20" s="2">
        <v>213.42500000000001</v>
      </c>
      <c r="N20" s="2">
        <v>217.505</v>
      </c>
      <c r="O20" s="2">
        <v>217.624</v>
      </c>
      <c r="P20" s="2">
        <v>223.12700000000001</v>
      </c>
      <c r="S20" s="2">
        <f t="shared" ref="S20:W20" si="11">+S19-S21</f>
        <v>75.800000000000011</v>
      </c>
      <c r="T20" s="2">
        <f t="shared" si="11"/>
        <v>119.20000000000005</v>
      </c>
      <c r="U20" s="2">
        <f t="shared" si="11"/>
        <v>172.70000000000005</v>
      </c>
      <c r="V20" s="2">
        <f t="shared" si="11"/>
        <v>210.29999999999995</v>
      </c>
      <c r="W20" s="2">
        <f t="shared" si="11"/>
        <v>268.79999999999995</v>
      </c>
      <c r="X20" s="2">
        <f>+X19-X21</f>
        <v>331.79999999999995</v>
      </c>
      <c r="Y20" s="2">
        <v>452.91399999999999</v>
      </c>
      <c r="Z20" s="2">
        <v>633.76499999999999</v>
      </c>
      <c r="AA20" s="2">
        <v>803.495</v>
      </c>
      <c r="AB20" s="2">
        <f>+AB19*0.18</f>
        <v>962.0392877999999</v>
      </c>
      <c r="AC20" s="2">
        <f>+AC19*0.17</f>
        <v>1118.0164603630001</v>
      </c>
      <c r="AD20" s="2">
        <f t="shared" ref="AD20:AI20" si="12">+AD19*0.17</f>
        <v>1379.6600497704699</v>
      </c>
      <c r="AE20" s="2">
        <f t="shared" si="12"/>
        <v>1706.5557455182006</v>
      </c>
      <c r="AF20" s="2">
        <f t="shared" si="12"/>
        <v>2114.9935536503203</v>
      </c>
      <c r="AG20" s="2">
        <f t="shared" si="12"/>
        <v>2523.5371402520354</v>
      </c>
      <c r="AH20" s="2">
        <f t="shared" si="12"/>
        <v>2964.7645506872732</v>
      </c>
      <c r="AI20" s="2">
        <f t="shared" si="12"/>
        <v>3485.2614454519039</v>
      </c>
    </row>
    <row r="21" spans="2:84" x14ac:dyDescent="0.25">
      <c r="B21" s="1" t="s">
        <v>6</v>
      </c>
      <c r="C21" s="2">
        <f t="shared" ref="C21" si="13">+C19-C20</f>
        <v>516.00599999999997</v>
      </c>
      <c r="D21" s="2">
        <f t="shared" ref="D21" si="14">+D19-D20</f>
        <v>573.36500000000001</v>
      </c>
      <c r="E21" s="2">
        <f t="shared" ref="E21" si="15">+E19-E20</f>
        <v>621.11699999999996</v>
      </c>
      <c r="F21" s="2">
        <f t="shared" ref="F21" si="16">+F19-F20</f>
        <v>626.68700000000001</v>
      </c>
      <c r="G21" s="2">
        <f t="shared" ref="G21" si="17">+G19-G20</f>
        <v>668</v>
      </c>
      <c r="H21" s="2">
        <f t="shared" ref="H21" si="18">+H19-H20</f>
        <v>716.75900000000001</v>
      </c>
      <c r="I21" s="2">
        <f t="shared" ref="I21" si="19">+I19-I20</f>
        <v>746.80099999999993</v>
      </c>
      <c r="J21" s="2">
        <f t="shared" ref="J21" si="20">+J19-J20</f>
        <v>769.32200000000012</v>
      </c>
      <c r="K21" s="2">
        <f t="shared" ref="K21" si="21">+K19-K20</f>
        <v>799.74599999999998</v>
      </c>
      <c r="L21" s="2">
        <f t="shared" ref="L21" si="22">+L19-L20</f>
        <v>865.57400000000007</v>
      </c>
      <c r="M21" s="2">
        <f t="shared" ref="M21" si="23">+M19-M20</f>
        <v>975.70299999999997</v>
      </c>
      <c r="N21" s="2">
        <f t="shared" ref="N21:P21" si="24">+N19-N20</f>
        <v>914.08500000000015</v>
      </c>
      <c r="O21" s="2">
        <f t="shared" si="24"/>
        <v>970.15700000000015</v>
      </c>
      <c r="P21" s="2">
        <f t="shared" si="24"/>
        <v>1063.336</v>
      </c>
      <c r="S21" s="2">
        <v>381.3</v>
      </c>
      <c r="T21" s="2">
        <v>507.5</v>
      </c>
      <c r="U21" s="2">
        <v>708.3</v>
      </c>
      <c r="V21" s="2">
        <v>999.8</v>
      </c>
      <c r="W21" s="2">
        <v>1345.4</v>
      </c>
      <c r="X21" s="2">
        <v>1757.3</v>
      </c>
      <c r="Y21" s="2">
        <f t="shared" ref="Y21" si="25">+Y19-Y20</f>
        <v>2349.9680000000008</v>
      </c>
      <c r="Z21" s="2">
        <f>+Z19-Z20</f>
        <v>2900.8820000000001</v>
      </c>
      <c r="AA21" s="2">
        <f t="shared" ref="AA21:AI21" si="26">+AA19-AA20</f>
        <v>3555.1080000000002</v>
      </c>
      <c r="AB21" s="2">
        <f t="shared" si="26"/>
        <v>4382.6234221999994</v>
      </c>
      <c r="AC21" s="2">
        <f t="shared" si="26"/>
        <v>5458.5509535370002</v>
      </c>
      <c r="AD21" s="2">
        <f t="shared" si="26"/>
        <v>6735.987301820529</v>
      </c>
      <c r="AE21" s="2">
        <f t="shared" si="26"/>
        <v>8332.0074634123903</v>
      </c>
      <c r="AF21" s="2">
        <f t="shared" si="26"/>
        <v>10326.144997233916</v>
      </c>
      <c r="AG21" s="2">
        <f t="shared" si="26"/>
        <v>12320.798978877583</v>
      </c>
      <c r="AH21" s="2">
        <f t="shared" si="26"/>
        <v>14475.026923943744</v>
      </c>
      <c r="AI21" s="2">
        <f t="shared" si="26"/>
        <v>17016.27646897106</v>
      </c>
    </row>
    <row r="22" spans="2:84" x14ac:dyDescent="0.25">
      <c r="B22" s="1" t="s">
        <v>7</v>
      </c>
      <c r="C22" s="2">
        <v>279.846</v>
      </c>
      <c r="D22" s="2">
        <v>374.976</v>
      </c>
      <c r="E22" s="2">
        <v>363.74599999999998</v>
      </c>
      <c r="F22" s="2">
        <v>379</v>
      </c>
      <c r="G22" s="2">
        <v>399.00599999999997</v>
      </c>
      <c r="H22" s="2">
        <v>473.67599999999999</v>
      </c>
      <c r="I22" s="2">
        <v>522.34400000000005</v>
      </c>
      <c r="J22" s="2">
        <v>474.85500000000002</v>
      </c>
      <c r="K22" s="2">
        <v>481.738</v>
      </c>
      <c r="L22" s="2">
        <v>536.779</v>
      </c>
      <c r="M22" s="2">
        <v>576.49</v>
      </c>
      <c r="N22" s="2">
        <v>589.10400000000004</v>
      </c>
      <c r="O22" s="2">
        <v>603.101</v>
      </c>
      <c r="P22" s="2">
        <v>680.21299999999997</v>
      </c>
      <c r="Y22" s="2">
        <v>1291.877</v>
      </c>
      <c r="Z22" s="2">
        <v>1869.8810000000001</v>
      </c>
      <c r="AA22" s="2">
        <v>2184.1109999999999</v>
      </c>
      <c r="AB22" s="2">
        <f>+AB19*0.48</f>
        <v>2565.4381007999996</v>
      </c>
      <c r="AC22" s="2">
        <f>+AC19*0.4</f>
        <v>2630.6269655600004</v>
      </c>
      <c r="AD22" s="2">
        <f>+AD19*0.39</f>
        <v>3165.10246712049</v>
      </c>
      <c r="AE22" s="2">
        <f>+AE19*0.38</f>
        <v>3814.6540193936244</v>
      </c>
      <c r="AF22" s="2">
        <f>+AF19*0.35</f>
        <v>4354.3984928094824</v>
      </c>
      <c r="AG22" s="2">
        <f>+AG19*0.33</f>
        <v>4898.6309193127745</v>
      </c>
      <c r="AH22" s="2">
        <f>+AH19*0.32</f>
        <v>5580.7332718819252</v>
      </c>
      <c r="AI22" s="2">
        <f>+AI19*0.31</f>
        <v>6355.4767534711182</v>
      </c>
    </row>
    <row r="23" spans="2:84" x14ac:dyDescent="0.25">
      <c r="B23" s="1" t="s">
        <v>8</v>
      </c>
      <c r="C23" s="2">
        <v>102.928</v>
      </c>
      <c r="D23" s="2">
        <v>134.65899999999999</v>
      </c>
      <c r="E23" s="2">
        <v>150.79599999999999</v>
      </c>
      <c r="F23" s="2">
        <v>179.30799999999999</v>
      </c>
      <c r="G23" s="2">
        <v>160.12799999999999</v>
      </c>
      <c r="H23" s="2">
        <v>186.191</v>
      </c>
      <c r="I23" s="2">
        <v>220.92099999999999</v>
      </c>
      <c r="J23" s="2">
        <v>202.62100000000001</v>
      </c>
      <c r="K23" s="2">
        <v>193.56700000000001</v>
      </c>
      <c r="L23" s="2">
        <v>220.51300000000001</v>
      </c>
      <c r="M23" s="2">
        <v>223.81399999999999</v>
      </c>
      <c r="N23" s="2">
        <v>239.60300000000001</v>
      </c>
      <c r="O23" s="2">
        <v>252.393</v>
      </c>
      <c r="P23" s="2">
        <v>271.89400000000001</v>
      </c>
      <c r="Y23" s="2">
        <v>535.81500000000005</v>
      </c>
      <c r="Z23" s="2">
        <v>769.86099999999999</v>
      </c>
      <c r="AA23" s="2">
        <v>877.49699999999996</v>
      </c>
      <c r="AB23" s="2">
        <f>+AB19*0.2</f>
        <v>1068.932542</v>
      </c>
      <c r="AC23" s="2">
        <f>+AC19*0.17</f>
        <v>1118.0164603630001</v>
      </c>
      <c r="AD23" s="2">
        <f t="shared" ref="AD23" si="27">+AD19*0.17</f>
        <v>1379.6600497704699</v>
      </c>
      <c r="AE23" s="2">
        <f>+AE19*0.15</f>
        <v>1505.7844813395886</v>
      </c>
      <c r="AF23" s="2">
        <f>+AF19*0.13</f>
        <v>1617.3480116149508</v>
      </c>
      <c r="AG23" s="2">
        <f t="shared" ref="AG23:AI23" si="28">+AG19*0.13</f>
        <v>1929.7636954868506</v>
      </c>
      <c r="AH23" s="2">
        <f t="shared" si="28"/>
        <v>2267.1728917020323</v>
      </c>
      <c r="AI23" s="2">
        <f t="shared" si="28"/>
        <v>2665.1999288749853</v>
      </c>
    </row>
    <row r="24" spans="2:84" x14ac:dyDescent="0.25">
      <c r="B24" s="1" t="s">
        <v>9</v>
      </c>
      <c r="C24" s="2">
        <v>93.585999999999999</v>
      </c>
      <c r="D24" s="2">
        <v>130.44800000000001</v>
      </c>
      <c r="E24" s="2">
        <v>122.70699999999999</v>
      </c>
      <c r="F24" s="2">
        <v>131.63200000000001</v>
      </c>
      <c r="G24" s="2">
        <v>142.893</v>
      </c>
      <c r="H24" s="2">
        <v>156.131</v>
      </c>
      <c r="I24" s="2">
        <v>165.10300000000001</v>
      </c>
      <c r="J24" s="2">
        <v>142.23500000000001</v>
      </c>
      <c r="K24" s="2">
        <v>143.31</v>
      </c>
      <c r="L24" s="2">
        <v>157.34399999999999</v>
      </c>
      <c r="M24" s="2">
        <v>157.595</v>
      </c>
      <c r="N24" s="2">
        <v>152.328</v>
      </c>
      <c r="O24" s="2">
        <v>146.64099999999999</v>
      </c>
      <c r="P24" s="2">
        <v>168.708</v>
      </c>
      <c r="Y24" s="2">
        <v>452.19299999999998</v>
      </c>
      <c r="Z24" s="2">
        <v>606.36199999999997</v>
      </c>
      <c r="AA24" s="2">
        <v>610.577</v>
      </c>
      <c r="AB24" s="2">
        <f>+AB19*0.13</f>
        <v>694.80615230000001</v>
      </c>
      <c r="AC24" s="2">
        <f>+AC19*0.12</f>
        <v>789.18808966799998</v>
      </c>
      <c r="AD24" s="2">
        <f>+AD19*0.11</f>
        <v>892.72120867500996</v>
      </c>
      <c r="AE24" s="2">
        <f t="shared" ref="AE24:AI24" si="29">+AE19*0.11</f>
        <v>1104.2419529823651</v>
      </c>
      <c r="AF24" s="2">
        <f t="shared" si="29"/>
        <v>1368.525240597266</v>
      </c>
      <c r="AG24" s="2">
        <f t="shared" si="29"/>
        <v>1632.876973104258</v>
      </c>
      <c r="AH24" s="2">
        <f t="shared" si="29"/>
        <v>1918.3770622094119</v>
      </c>
      <c r="AI24" s="2">
        <f t="shared" si="29"/>
        <v>2255.169170586526</v>
      </c>
    </row>
    <row r="25" spans="2:84" x14ac:dyDescent="0.25">
      <c r="B25" s="1" t="s">
        <v>10</v>
      </c>
      <c r="C25" s="2">
        <f t="shared" ref="C25" si="30">+SUM(C22:C24)</f>
        <v>476.36</v>
      </c>
      <c r="D25" s="2">
        <f t="shared" ref="D25" si="31">+SUM(D22:D24)</f>
        <v>640.08299999999997</v>
      </c>
      <c r="E25" s="2">
        <f t="shared" ref="E25" si="32">+SUM(E22:E24)</f>
        <v>637.24899999999991</v>
      </c>
      <c r="F25" s="2">
        <f t="shared" ref="F25" si="33">+SUM(F22:F24)</f>
        <v>689.94</v>
      </c>
      <c r="G25" s="2">
        <f t="shared" ref="G25" si="34">+SUM(G22:G24)</f>
        <v>702.02700000000004</v>
      </c>
      <c r="H25" s="2">
        <f t="shared" ref="H25" si="35">+SUM(H22:H24)</f>
        <v>815.99799999999993</v>
      </c>
      <c r="I25" s="2">
        <f t="shared" ref="I25" si="36">+SUM(I22:I24)</f>
        <v>908.36800000000017</v>
      </c>
      <c r="J25" s="2">
        <f t="shared" ref="J25" si="37">+SUM(J22:J24)</f>
        <v>819.71100000000001</v>
      </c>
      <c r="K25" s="2">
        <f t="shared" ref="K25" si="38">+SUM(K22:K24)</f>
        <v>818.61500000000001</v>
      </c>
      <c r="L25" s="2">
        <f t="shared" ref="L25" si="39">+SUM(L22:L24)</f>
        <v>914.63599999999997</v>
      </c>
      <c r="M25" s="2">
        <f t="shared" ref="M25" si="40">+SUM(M22:M24)</f>
        <v>957.899</v>
      </c>
      <c r="N25" s="2">
        <f t="shared" ref="N25:P25" si="41">+SUM(N22:N24)</f>
        <v>981.03500000000008</v>
      </c>
      <c r="O25" s="2">
        <f t="shared" si="41"/>
        <v>1002.135</v>
      </c>
      <c r="P25" s="2">
        <f t="shared" si="41"/>
        <v>1120.8150000000001</v>
      </c>
      <c r="S25" s="2">
        <v>387.2</v>
      </c>
      <c r="T25" s="2">
        <v>563.4</v>
      </c>
      <c r="U25" s="2">
        <v>754.3</v>
      </c>
      <c r="V25" s="2">
        <v>1063.2</v>
      </c>
      <c r="W25" s="2">
        <v>1331.3</v>
      </c>
      <c r="X25" s="2">
        <v>1615.9</v>
      </c>
      <c r="Y25" s="2">
        <f>+SUM(Y22:Y24)</f>
        <v>2279.8850000000002</v>
      </c>
      <c r="Z25" s="2">
        <f t="shared" ref="Z25:AI25" si="42">+SUM(Z22:Z24)</f>
        <v>3246.1040000000003</v>
      </c>
      <c r="AA25" s="2">
        <f t="shared" si="42"/>
        <v>3672.1849999999995</v>
      </c>
      <c r="AB25" s="2">
        <f t="shared" si="42"/>
        <v>4329.1767950999993</v>
      </c>
      <c r="AC25" s="2">
        <f t="shared" si="42"/>
        <v>4537.8315155910004</v>
      </c>
      <c r="AD25" s="2">
        <f t="shared" si="42"/>
        <v>5437.4837255659695</v>
      </c>
      <c r="AE25" s="2">
        <f t="shared" si="42"/>
        <v>6424.6804537155786</v>
      </c>
      <c r="AF25" s="2">
        <f t="shared" si="42"/>
        <v>7340.2717450216987</v>
      </c>
      <c r="AG25" s="2">
        <f t="shared" si="42"/>
        <v>8461.2715879038824</v>
      </c>
      <c r="AH25" s="2">
        <f t="shared" si="42"/>
        <v>9766.2832257933696</v>
      </c>
      <c r="AI25" s="2">
        <f t="shared" si="42"/>
        <v>11275.845852932631</v>
      </c>
    </row>
    <row r="26" spans="2:84" x14ac:dyDescent="0.25">
      <c r="B26" s="1" t="s">
        <v>11</v>
      </c>
      <c r="C26" s="2">
        <f t="shared" ref="C26" si="43">+C21-C25</f>
        <v>39.645999999999958</v>
      </c>
      <c r="D26" s="2">
        <f t="shared" ref="D26" si="44">+D21-D25</f>
        <v>-66.717999999999961</v>
      </c>
      <c r="E26" s="2">
        <f t="shared" ref="E26" si="45">+E21-E25</f>
        <v>-16.131999999999948</v>
      </c>
      <c r="F26" s="2">
        <f t="shared" ref="F26" si="46">+F21-F25</f>
        <v>-63.253000000000043</v>
      </c>
      <c r="G26" s="2">
        <f t="shared" ref="G26" si="47">+G21-G25</f>
        <v>-34.027000000000044</v>
      </c>
      <c r="H26" s="2">
        <f t="shared" ref="H26" si="48">+H21-H25</f>
        <v>-99.238999999999919</v>
      </c>
      <c r="I26" s="2">
        <f t="shared" ref="I26" si="49">+I21-I25</f>
        <v>-161.56700000000023</v>
      </c>
      <c r="J26" s="2">
        <f t="shared" ref="J26" si="50">+J21-J25</f>
        <v>-50.388999999999896</v>
      </c>
      <c r="K26" s="2">
        <f t="shared" ref="K26" si="51">+K21-K25</f>
        <v>-18.869000000000028</v>
      </c>
      <c r="L26" s="2">
        <f t="shared" ref="L26" si="52">+L21-L25</f>
        <v>-49.061999999999898</v>
      </c>
      <c r="M26" s="2">
        <f t="shared" ref="M26" si="53">+M21-M25</f>
        <v>17.803999999999974</v>
      </c>
      <c r="N26" s="2">
        <f t="shared" ref="N26:P26" si="54">+N21-N25</f>
        <v>-66.949999999999932</v>
      </c>
      <c r="O26" s="2">
        <f t="shared" si="54"/>
        <v>-31.977999999999838</v>
      </c>
      <c r="P26" s="2">
        <f t="shared" si="54"/>
        <v>-57.479000000000042</v>
      </c>
      <c r="S26" s="2">
        <f t="shared" ref="S26:X26" si="55">+S21-S25</f>
        <v>-5.8999999999999773</v>
      </c>
      <c r="T26" s="2">
        <f t="shared" si="55"/>
        <v>-55.899999999999977</v>
      </c>
      <c r="U26" s="2">
        <f t="shared" si="55"/>
        <v>-46</v>
      </c>
      <c r="V26" s="2">
        <f t="shared" si="55"/>
        <v>-63.400000000000091</v>
      </c>
      <c r="W26" s="2">
        <f t="shared" si="55"/>
        <v>14.100000000000136</v>
      </c>
      <c r="X26" s="2">
        <f t="shared" si="55"/>
        <v>141.39999999999986</v>
      </c>
      <c r="Y26" s="2">
        <f>+Y21-Y25</f>
        <v>70.083000000000538</v>
      </c>
      <c r="Z26" s="2">
        <f t="shared" ref="Z26:AI26" si="56">+Z21-Z25</f>
        <v>-345.22200000000021</v>
      </c>
      <c r="AA26" s="2">
        <f t="shared" si="56"/>
        <v>-117.07699999999932</v>
      </c>
      <c r="AB26" s="2">
        <f t="shared" si="56"/>
        <v>53.446627100000114</v>
      </c>
      <c r="AC26" s="2">
        <f t="shared" si="56"/>
        <v>920.71943794599974</v>
      </c>
      <c r="AD26" s="2">
        <f t="shared" si="56"/>
        <v>1298.5035762545594</v>
      </c>
      <c r="AE26" s="2">
        <f t="shared" si="56"/>
        <v>1907.3270096968117</v>
      </c>
      <c r="AF26" s="2">
        <f t="shared" si="56"/>
        <v>2985.8732522122173</v>
      </c>
      <c r="AG26" s="2">
        <f t="shared" si="56"/>
        <v>3859.5273909737007</v>
      </c>
      <c r="AH26" s="2">
        <f t="shared" si="56"/>
        <v>4708.7436981503743</v>
      </c>
      <c r="AI26" s="2">
        <f t="shared" si="56"/>
        <v>5740.4306160384294</v>
      </c>
    </row>
    <row r="27" spans="2:84" x14ac:dyDescent="0.25">
      <c r="B27" s="1" t="s">
        <v>12</v>
      </c>
      <c r="C27" s="2">
        <f>0.28-7.111</f>
        <v>-6.8309999999999995</v>
      </c>
      <c r="D27" s="2">
        <f>0.077-6.078</f>
        <v>-6.0010000000000003</v>
      </c>
      <c r="E27" s="2">
        <f>0.608-6.024</f>
        <v>-5.4160000000000004</v>
      </c>
      <c r="F27" s="2">
        <f>1.332-6.611</f>
        <v>-5.2789999999999999</v>
      </c>
      <c r="G27" s="2">
        <f>5.143-6.121</f>
        <v>-0.97800000000000065</v>
      </c>
      <c r="H27" s="2">
        <f>8.963-7.508</f>
        <v>1.4549999999999992</v>
      </c>
      <c r="I27" s="2">
        <f>15.047-7.978</f>
        <v>7.0690000000000008</v>
      </c>
      <c r="J27" s="2">
        <f>20.579-8.54</f>
        <v>12.039000000000001</v>
      </c>
      <c r="K27" s="2">
        <f>25.226-8.976</f>
        <v>16.25</v>
      </c>
      <c r="L27" s="2">
        <f>22.593-9.001</f>
        <v>13.592000000000001</v>
      </c>
      <c r="M27" s="2">
        <f>21.414-8.453</f>
        <v>12.961000000000002</v>
      </c>
      <c r="N27" s="2">
        <f>27.43-7.647</f>
        <v>19.783000000000001</v>
      </c>
      <c r="O27" s="2">
        <f>28.564-7.318</f>
        <v>21.246000000000002</v>
      </c>
      <c r="P27" s="2">
        <f>25.586-7.291</f>
        <v>18.294999999999998</v>
      </c>
      <c r="Y27" s="2">
        <f>2.284-41.466</f>
        <v>-39.182000000000002</v>
      </c>
      <c r="Z27" s="2">
        <f>49.732-30.147</f>
        <v>19.585000000000001</v>
      </c>
      <c r="AA27" s="2">
        <f>96.663-34.077</f>
        <v>62.585999999999999</v>
      </c>
      <c r="AB27" s="2"/>
      <c r="AC27" s="2"/>
      <c r="AD27" s="2"/>
      <c r="AE27" s="2"/>
      <c r="AF27" s="2"/>
      <c r="AG27" s="2"/>
      <c r="AH27" s="2"/>
      <c r="AI27" s="2"/>
    </row>
    <row r="28" spans="2:84" x14ac:dyDescent="0.25">
      <c r="B28" s="1" t="s">
        <v>13</v>
      </c>
      <c r="C28" s="2">
        <v>-424.93299999999999</v>
      </c>
      <c r="D28" s="2">
        <v>-0.31900000000000001</v>
      </c>
      <c r="E28" s="2">
        <v>-9.0090000000000003</v>
      </c>
      <c r="F28" s="2">
        <v>-0.32700000000000001</v>
      </c>
      <c r="G28" s="2">
        <v>29.289000000000001</v>
      </c>
      <c r="H28" s="2">
        <v>-6.7489999999999997</v>
      </c>
      <c r="I28" s="2">
        <v>-0.94299999999999995</v>
      </c>
      <c r="J28" s="2">
        <v>-7.0960000000000001</v>
      </c>
      <c r="K28" s="2">
        <v>-8.3350000000000009</v>
      </c>
      <c r="L28" s="2">
        <v>-4.6390000000000002</v>
      </c>
      <c r="M28" s="2">
        <v>-10.99</v>
      </c>
      <c r="N28" s="2">
        <v>-6.952</v>
      </c>
      <c r="O28" s="2">
        <v>-19.431999999999999</v>
      </c>
      <c r="P28" s="2">
        <v>-7.9989999999999997</v>
      </c>
      <c r="Y28" s="2">
        <v>-501.839</v>
      </c>
      <c r="Z28" s="2">
        <v>14.500999999999999</v>
      </c>
      <c r="AA28" s="2">
        <v>-30.916</v>
      </c>
      <c r="AB28" s="2">
        <f>+AA88*$AL$11</f>
        <v>189.14555999999996</v>
      </c>
      <c r="AC28" s="2">
        <f t="shared" ref="AC28:AI28" si="57">+AB88*$AL$11</f>
        <v>212.14329933707998</v>
      </c>
      <c r="AD28" s="2">
        <f t="shared" si="57"/>
        <v>319.53868683151592</v>
      </c>
      <c r="AE28" s="2">
        <f t="shared" si="57"/>
        <v>472.92909337207584</v>
      </c>
      <c r="AF28" s="2">
        <f t="shared" si="57"/>
        <v>698.57737194300637</v>
      </c>
      <c r="AG28" s="2">
        <f t="shared" si="57"/>
        <v>1047.8632911129214</v>
      </c>
      <c r="AH28" s="2">
        <f t="shared" si="57"/>
        <v>1513.0839277747332</v>
      </c>
      <c r="AI28" s="2">
        <f t="shared" si="57"/>
        <v>2102.9131867124333</v>
      </c>
    </row>
    <row r="29" spans="2:84" x14ac:dyDescent="0.25">
      <c r="B29" s="1" t="s">
        <v>14</v>
      </c>
      <c r="C29" s="2">
        <f t="shared" ref="C29" si="58">+C26+C27+C28</f>
        <v>-392.11800000000005</v>
      </c>
      <c r="D29" s="2">
        <f t="shared" ref="D29" si="59">+D26+D27+D28</f>
        <v>-73.037999999999968</v>
      </c>
      <c r="E29" s="2">
        <f t="shared" ref="E29" si="60">+E26+E27+E28</f>
        <v>-30.556999999999949</v>
      </c>
      <c r="F29" s="2">
        <f t="shared" ref="F29" si="61">+F26+F27+F28</f>
        <v>-68.859000000000037</v>
      </c>
      <c r="G29" s="2">
        <f t="shared" ref="G29" si="62">+G26+G27+G28</f>
        <v>-5.7160000000000437</v>
      </c>
      <c r="H29" s="2">
        <f t="shared" ref="H29" si="63">+H26+H27+H28</f>
        <v>-104.53299999999992</v>
      </c>
      <c r="I29" s="2">
        <f t="shared" ref="I29" si="64">+I26+I27+I28</f>
        <v>-155.44100000000026</v>
      </c>
      <c r="J29" s="2">
        <f t="shared" ref="J29" si="65">+J26+J27+J28</f>
        <v>-45.445999999999898</v>
      </c>
      <c r="K29" s="2">
        <f t="shared" ref="K29" si="66">+K26+K27+K28</f>
        <v>-10.954000000000029</v>
      </c>
      <c r="L29" s="2">
        <f t="shared" ref="L29" si="67">+L26+L27+L28</f>
        <v>-40.108999999999902</v>
      </c>
      <c r="M29" s="2">
        <f t="shared" ref="M29" si="68">+M26+M27+M28</f>
        <v>19.774999999999977</v>
      </c>
      <c r="N29" s="2">
        <f t="shared" ref="N29:P29" si="69">+N26+N27+N28</f>
        <v>-54.118999999999929</v>
      </c>
      <c r="O29" s="2">
        <f t="shared" si="69"/>
        <v>-30.163999999999835</v>
      </c>
      <c r="P29" s="2">
        <f t="shared" si="69"/>
        <v>-47.183000000000042</v>
      </c>
      <c r="Y29" s="2">
        <f>+Y26+Y27+Y28</f>
        <v>-470.93799999999948</v>
      </c>
      <c r="Z29" s="2">
        <f t="shared" ref="Z29:AI29" si="70">+Z26+Z27+Z28</f>
        <v>-311.13600000000025</v>
      </c>
      <c r="AA29" s="2">
        <f t="shared" si="70"/>
        <v>-85.406999999999314</v>
      </c>
      <c r="AB29" s="2">
        <f t="shared" si="70"/>
        <v>242.59218710000007</v>
      </c>
      <c r="AC29" s="2">
        <f t="shared" si="70"/>
        <v>1132.8627372830797</v>
      </c>
      <c r="AD29" s="2">
        <f t="shared" si="70"/>
        <v>1618.0422630860753</v>
      </c>
      <c r="AE29" s="2">
        <f t="shared" si="70"/>
        <v>2380.2561030688876</v>
      </c>
      <c r="AF29" s="2">
        <f t="shared" si="70"/>
        <v>3684.4506241552235</v>
      </c>
      <c r="AG29" s="2">
        <f t="shared" si="70"/>
        <v>4907.3906820866223</v>
      </c>
      <c r="AH29" s="2">
        <f t="shared" si="70"/>
        <v>6221.827625925107</v>
      </c>
      <c r="AI29" s="2">
        <f t="shared" si="70"/>
        <v>7843.3438027508628</v>
      </c>
    </row>
    <row r="30" spans="2:84" x14ac:dyDescent="0.25">
      <c r="B30" s="1" t="s">
        <v>15</v>
      </c>
      <c r="C30" s="2">
        <v>7.984</v>
      </c>
      <c r="D30" s="2">
        <v>14.156000000000001</v>
      </c>
      <c r="E30" s="2">
        <v>0.53</v>
      </c>
      <c r="F30" s="2">
        <v>36.603999999999999</v>
      </c>
      <c r="G30" s="2">
        <v>8.0250000000000004</v>
      </c>
      <c r="H30" s="2">
        <v>100.498</v>
      </c>
      <c r="I30" s="2">
        <v>53.595999999999997</v>
      </c>
      <c r="J30" s="2">
        <v>13.506</v>
      </c>
      <c r="K30" s="2">
        <v>20.928999999999998</v>
      </c>
      <c r="L30" s="2">
        <v>44.36</v>
      </c>
      <c r="M30" s="2">
        <v>7.0229999999999997</v>
      </c>
      <c r="N30" s="2">
        <v>142.80000000000001</v>
      </c>
      <c r="O30" s="2">
        <v>93.605000000000004</v>
      </c>
      <c r="P30" s="2">
        <v>8.9749999999999996</v>
      </c>
      <c r="Y30" s="2">
        <v>48.572000000000003</v>
      </c>
      <c r="Z30" s="2">
        <v>175.625</v>
      </c>
      <c r="AA30" s="2">
        <v>215.11199999999999</v>
      </c>
      <c r="AB30" s="2">
        <f>+AB29*0.21</f>
        <v>50.944359291000012</v>
      </c>
      <c r="AC30" s="2">
        <f t="shared" ref="AC30:AI30" si="71">+AC29*0.21</f>
        <v>237.90117482944672</v>
      </c>
      <c r="AD30" s="2">
        <f t="shared" si="71"/>
        <v>339.78887524807578</v>
      </c>
      <c r="AE30" s="2">
        <f t="shared" si="71"/>
        <v>499.85378164446638</v>
      </c>
      <c r="AF30" s="2">
        <f t="shared" si="71"/>
        <v>773.73463107259693</v>
      </c>
      <c r="AG30" s="2">
        <f t="shared" si="71"/>
        <v>1030.5520432381907</v>
      </c>
      <c r="AH30" s="2">
        <f t="shared" si="71"/>
        <v>1306.5838014442725</v>
      </c>
      <c r="AI30" s="2">
        <f t="shared" si="71"/>
        <v>1647.1021985776811</v>
      </c>
    </row>
    <row r="31" spans="2:84" x14ac:dyDescent="0.25">
      <c r="B31" s="4" t="s">
        <v>16</v>
      </c>
      <c r="C31" s="5">
        <f t="shared" ref="C31" si="72">+C29-C30</f>
        <v>-400.10200000000003</v>
      </c>
      <c r="D31" s="5">
        <f t="shared" ref="D31" si="73">+D29-D30</f>
        <v>-87.193999999999974</v>
      </c>
      <c r="E31" s="5">
        <f t="shared" ref="E31" si="74">+E29-E30</f>
        <v>-31.08699999999995</v>
      </c>
      <c r="F31" s="5">
        <f t="shared" ref="F31" si="75">+F29-F30</f>
        <v>-105.46300000000004</v>
      </c>
      <c r="G31" s="5">
        <f t="shared" ref="G31" si="76">+G29-G30</f>
        <v>-13.741000000000044</v>
      </c>
      <c r="H31" s="5">
        <f t="shared" ref="H31" si="77">+H29-H30</f>
        <v>-205.03099999999992</v>
      </c>
      <c r="I31" s="5">
        <f t="shared" ref="I31" si="78">+I29-I30</f>
        <v>-209.03700000000026</v>
      </c>
      <c r="J31" s="5">
        <f t="shared" ref="J31" si="79">+J29-J30</f>
        <v>-58.951999999999899</v>
      </c>
      <c r="K31" s="5">
        <f t="shared" ref="K31" si="80">+K29-K30</f>
        <v>-31.883000000000028</v>
      </c>
      <c r="L31" s="5">
        <f t="shared" ref="L31" si="81">+L29-L30</f>
        <v>-84.468999999999909</v>
      </c>
      <c r="M31" s="5">
        <f t="shared" ref="M31" si="82">+M29-M30</f>
        <v>12.751999999999978</v>
      </c>
      <c r="N31" s="5">
        <f t="shared" ref="N31:P31" si="83">+N29-N30</f>
        <v>-196.91899999999993</v>
      </c>
      <c r="O31" s="5">
        <f t="shared" si="83"/>
        <v>-123.76899999999983</v>
      </c>
      <c r="P31" s="5">
        <f t="shared" si="83"/>
        <v>-56.158000000000044</v>
      </c>
      <c r="Q31" s="4"/>
      <c r="R31" s="4"/>
      <c r="S31" s="4"/>
      <c r="T31" s="4"/>
      <c r="U31" s="4"/>
      <c r="V31" s="4"/>
      <c r="W31" s="4"/>
      <c r="X31" s="4"/>
      <c r="Y31" s="5">
        <f>+Y29-Y30</f>
        <v>-519.50999999999954</v>
      </c>
      <c r="Z31" s="5">
        <f t="shared" ref="Z31:AI31" si="84">+Z29-Z30</f>
        <v>-486.76100000000025</v>
      </c>
      <c r="AA31" s="5">
        <f t="shared" si="84"/>
        <v>-300.51899999999932</v>
      </c>
      <c r="AB31" s="5">
        <f t="shared" si="84"/>
        <v>191.64782780900006</v>
      </c>
      <c r="AC31" s="5">
        <f t="shared" si="84"/>
        <v>894.96156245363295</v>
      </c>
      <c r="AD31" s="5">
        <f t="shared" si="84"/>
        <v>1278.2533878379995</v>
      </c>
      <c r="AE31" s="5">
        <f t="shared" si="84"/>
        <v>1880.4023214244212</v>
      </c>
      <c r="AF31" s="5">
        <f t="shared" si="84"/>
        <v>2910.7159930826265</v>
      </c>
      <c r="AG31" s="5">
        <f t="shared" si="84"/>
        <v>3876.8386388484314</v>
      </c>
      <c r="AH31" s="5">
        <f t="shared" si="84"/>
        <v>4915.2438244808345</v>
      </c>
      <c r="AI31" s="5">
        <f t="shared" si="84"/>
        <v>6196.2416041731813</v>
      </c>
      <c r="AJ31" s="5">
        <f>+AI31*(1+$AL$10)</f>
        <v>6506.0536843818409</v>
      </c>
      <c r="AK31" s="5">
        <f t="shared" ref="AK31:CF31" si="85">+AJ31*(1+$AL$10)</f>
        <v>6831.3563686009329</v>
      </c>
      <c r="AL31" s="5">
        <f t="shared" si="85"/>
        <v>7172.9241870309797</v>
      </c>
      <c r="AM31" s="5">
        <f t="shared" si="85"/>
        <v>7531.570396382529</v>
      </c>
      <c r="AN31" s="5">
        <f t="shared" si="85"/>
        <v>7908.148916201656</v>
      </c>
      <c r="AO31" s="5">
        <f t="shared" si="85"/>
        <v>8303.5563620117391</v>
      </c>
      <c r="AP31" s="5">
        <f t="shared" si="85"/>
        <v>8718.7341801123257</v>
      </c>
      <c r="AQ31" s="5">
        <f t="shared" si="85"/>
        <v>9154.6708891179424</v>
      </c>
      <c r="AR31" s="5">
        <f t="shared" si="85"/>
        <v>9612.4044335738399</v>
      </c>
      <c r="AS31" s="5">
        <f t="shared" si="85"/>
        <v>10093.024655252533</v>
      </c>
      <c r="AT31" s="5">
        <f t="shared" si="85"/>
        <v>10597.675888015161</v>
      </c>
      <c r="AU31" s="5">
        <f t="shared" si="85"/>
        <v>11127.55968241592</v>
      </c>
      <c r="AV31" s="5">
        <f t="shared" si="85"/>
        <v>11683.937666536716</v>
      </c>
      <c r="AW31" s="5">
        <f t="shared" si="85"/>
        <v>12268.134549863553</v>
      </c>
      <c r="AX31" s="5">
        <f t="shared" si="85"/>
        <v>12881.541277356731</v>
      </c>
      <c r="AY31" s="5">
        <f t="shared" si="85"/>
        <v>13525.618341224568</v>
      </c>
      <c r="AZ31" s="5">
        <f t="shared" si="85"/>
        <v>14201.899258285797</v>
      </c>
      <c r="BA31" s="5">
        <f t="shared" si="85"/>
        <v>14911.994221200088</v>
      </c>
      <c r="BB31" s="5">
        <f t="shared" si="85"/>
        <v>15657.593932260093</v>
      </c>
      <c r="BC31" s="5">
        <f t="shared" si="85"/>
        <v>16440.4736288731</v>
      </c>
      <c r="BD31" s="5">
        <f t="shared" si="85"/>
        <v>17262.497310316758</v>
      </c>
      <c r="BE31" s="5">
        <f t="shared" si="85"/>
        <v>18125.622175832596</v>
      </c>
      <c r="BF31" s="5">
        <f t="shared" si="85"/>
        <v>19031.903284624226</v>
      </c>
      <c r="BG31" s="5">
        <f t="shared" si="85"/>
        <v>19983.49844885544</v>
      </c>
      <c r="BH31" s="5">
        <f t="shared" si="85"/>
        <v>20982.673371298213</v>
      </c>
      <c r="BI31" s="5">
        <f t="shared" si="85"/>
        <v>22031.807039863124</v>
      </c>
      <c r="BJ31" s="5">
        <f t="shared" si="85"/>
        <v>23133.397391856281</v>
      </c>
      <c r="BK31" s="5">
        <f t="shared" si="85"/>
        <v>24290.067261449094</v>
      </c>
      <c r="BL31" s="5">
        <f t="shared" si="85"/>
        <v>25504.570624521552</v>
      </c>
      <c r="BM31" s="5">
        <f t="shared" si="85"/>
        <v>26779.799155747631</v>
      </c>
      <c r="BN31" s="5">
        <f t="shared" si="85"/>
        <v>28118.789113535015</v>
      </c>
      <c r="BO31" s="5">
        <f t="shared" si="85"/>
        <v>29524.728569211766</v>
      </c>
      <c r="BP31" s="5">
        <f t="shared" si="85"/>
        <v>31000.964997672356</v>
      </c>
      <c r="BQ31" s="5">
        <f t="shared" si="85"/>
        <v>32551.013247555977</v>
      </c>
      <c r="BR31" s="5">
        <f t="shared" si="85"/>
        <v>34178.563909933779</v>
      </c>
      <c r="BS31" s="5">
        <f t="shared" si="85"/>
        <v>35887.492105430472</v>
      </c>
      <c r="BT31" s="5">
        <f t="shared" si="85"/>
        <v>37681.866710702001</v>
      </c>
      <c r="BU31" s="5">
        <f t="shared" si="85"/>
        <v>39565.960046237102</v>
      </c>
      <c r="BV31" s="5">
        <f t="shared" si="85"/>
        <v>41544.25804854896</v>
      </c>
      <c r="BW31" s="5">
        <f t="shared" si="85"/>
        <v>43621.470950976407</v>
      </c>
      <c r="BX31" s="5">
        <f t="shared" si="85"/>
        <v>45802.544498525232</v>
      </c>
      <c r="BY31" s="5">
        <f t="shared" si="85"/>
        <v>48092.671723451494</v>
      </c>
      <c r="BZ31" s="5">
        <f t="shared" si="85"/>
        <v>50497.305309624069</v>
      </c>
      <c r="CA31" s="5">
        <f t="shared" si="85"/>
        <v>53022.170575105272</v>
      </c>
      <c r="CB31" s="5">
        <f t="shared" si="85"/>
        <v>55673.279103860536</v>
      </c>
      <c r="CC31" s="5">
        <f t="shared" si="85"/>
        <v>58456.943059053563</v>
      </c>
      <c r="CD31" s="5">
        <f t="shared" si="85"/>
        <v>61379.790212006243</v>
      </c>
      <c r="CE31" s="5">
        <f t="shared" si="85"/>
        <v>64448.77972260656</v>
      </c>
      <c r="CF31" s="5">
        <f t="shared" si="85"/>
        <v>67671.218708736895</v>
      </c>
    </row>
    <row r="32" spans="2:84" x14ac:dyDescent="0.25">
      <c r="B32" s="1" t="s">
        <v>17</v>
      </c>
      <c r="C32" s="2">
        <v>252.10599999999999</v>
      </c>
      <c r="D32" s="2">
        <v>249.18799999999999</v>
      </c>
      <c r="E32" s="2">
        <v>253.72300000000001</v>
      </c>
      <c r="F32" s="2">
        <v>254.482</v>
      </c>
      <c r="G32" s="2">
        <v>255.167</v>
      </c>
      <c r="H32" s="2">
        <v>255.874</v>
      </c>
      <c r="I32" s="2">
        <v>256.82499999999999</v>
      </c>
      <c r="J32" s="2">
        <v>257.38900000000001</v>
      </c>
      <c r="K32" s="2">
        <v>257.90699999999998</v>
      </c>
      <c r="L32" s="2">
        <v>258.601</v>
      </c>
      <c r="M32" s="2">
        <v>261.77800000000002</v>
      </c>
      <c r="N32" s="2">
        <v>260.32600000000002</v>
      </c>
      <c r="O32" s="2">
        <v>260.47699999999998</v>
      </c>
      <c r="P32" s="2">
        <v>261.14699999999999</v>
      </c>
      <c r="Y32" s="2">
        <v>253.31200000000001</v>
      </c>
      <c r="Z32" s="2">
        <v>256.30700000000002</v>
      </c>
      <c r="AA32" s="2">
        <v>259.13299999999998</v>
      </c>
      <c r="AB32" s="2">
        <f>+AA32*1.01</f>
        <v>261.72433000000001</v>
      </c>
      <c r="AC32" s="2">
        <f t="shared" ref="AC32:AI32" si="86">+AB32*1.01</f>
        <v>264.34157329999999</v>
      </c>
      <c r="AD32" s="2">
        <f t="shared" si="86"/>
        <v>266.98498903299998</v>
      </c>
      <c r="AE32" s="2">
        <f t="shared" si="86"/>
        <v>269.65483892332998</v>
      </c>
      <c r="AF32" s="2">
        <f t="shared" si="86"/>
        <v>272.3513873125633</v>
      </c>
      <c r="AG32" s="2">
        <f t="shared" si="86"/>
        <v>275.07490118568893</v>
      </c>
      <c r="AH32" s="2">
        <f t="shared" si="86"/>
        <v>277.82565019754583</v>
      </c>
      <c r="AI32" s="2">
        <f t="shared" si="86"/>
        <v>280.6039066995213</v>
      </c>
    </row>
    <row r="33" spans="2:35" x14ac:dyDescent="0.25">
      <c r="B33" s="1" t="s">
        <v>18</v>
      </c>
      <c r="C33" s="6">
        <f t="shared" ref="C33" si="87">+C31/C32</f>
        <v>-1.5870387852728616</v>
      </c>
      <c r="D33" s="6">
        <f t="shared" ref="D33" si="88">+D31/D32</f>
        <v>-0.34991251585148553</v>
      </c>
      <c r="E33" s="6">
        <f t="shared" ref="E33" si="89">+E31/E32</f>
        <v>-0.1225233817982601</v>
      </c>
      <c r="F33" s="6">
        <f t="shared" ref="F33" si="90">+F31/F32</f>
        <v>-0.41442223811507312</v>
      </c>
      <c r="G33" s="6">
        <f t="shared" ref="G33" si="91">+G31/G32</f>
        <v>-5.3851007379481064E-2</v>
      </c>
      <c r="H33" s="6">
        <f t="shared" ref="H33" si="92">+H31/H32</f>
        <v>-0.80129673198527374</v>
      </c>
      <c r="I33" s="6">
        <f t="shared" ref="I33" si="93">+I31/I32</f>
        <v>-0.8139277718290675</v>
      </c>
      <c r="J33" s="6">
        <f t="shared" ref="J33" si="94">+J31/J32</f>
        <v>-0.22903853700041532</v>
      </c>
      <c r="K33" s="6">
        <f t="shared" ref="K33" si="95">+K31/K32</f>
        <v>-0.12362208082758525</v>
      </c>
      <c r="L33" s="6">
        <f t="shared" ref="L33" si="96">+L31/L32</f>
        <v>-0.32663833473188392</v>
      </c>
      <c r="M33" s="6">
        <f t="shared" ref="M33" si="97">+M31/M32</f>
        <v>4.8713031652774401E-2</v>
      </c>
      <c r="N33" s="6">
        <f t="shared" ref="N33:P33" si="98">+N31/N32</f>
        <v>-0.75643231947634859</v>
      </c>
      <c r="O33" s="6">
        <f t="shared" si="98"/>
        <v>-0.47516287426528964</v>
      </c>
      <c r="P33" s="6">
        <f t="shared" si="98"/>
        <v>-0.21504363442811919</v>
      </c>
      <c r="Y33" s="6">
        <f>+Y31/Y32</f>
        <v>-2.0508700732693259</v>
      </c>
      <c r="Z33" s="6">
        <f t="shared" ref="Z33:AI33" si="99">+Z31/Z32</f>
        <v>-1.8991326807305311</v>
      </c>
      <c r="AA33" s="6">
        <f t="shared" si="99"/>
        <v>-1.1597094928087095</v>
      </c>
      <c r="AB33" s="6">
        <f t="shared" si="99"/>
        <v>0.73225071512839501</v>
      </c>
      <c r="AC33" s="6">
        <f t="shared" si="99"/>
        <v>3.3856254666304242</v>
      </c>
      <c r="AD33" s="6">
        <f t="shared" si="99"/>
        <v>4.7877350425869984</v>
      </c>
      <c r="AE33" s="6">
        <f t="shared" si="99"/>
        <v>6.9733676166629799</v>
      </c>
      <c r="AF33" s="6">
        <f t="shared" si="99"/>
        <v>10.687355117975409</v>
      </c>
      <c r="AG33" s="6">
        <f t="shared" si="99"/>
        <v>14.093756362858336</v>
      </c>
      <c r="AH33" s="6">
        <f t="shared" si="99"/>
        <v>17.691828745783148</v>
      </c>
      <c r="AI33" s="6">
        <f t="shared" si="99"/>
        <v>22.081808044134945</v>
      </c>
    </row>
    <row r="35" spans="2:35" x14ac:dyDescent="0.25">
      <c r="B35" s="1" t="s">
        <v>0</v>
      </c>
      <c r="G35" s="8">
        <f t="shared" ref="G35:G36" si="100">+G4/C4-1</f>
        <v>0.49549731676836006</v>
      </c>
      <c r="H35" s="8">
        <f t="shared" ref="H35:H36" si="101">+H4/D4-1</f>
        <v>0.39728323120236841</v>
      </c>
      <c r="I35" s="8">
        <f t="shared" ref="I35:I36" si="102">+I4/E4-1</f>
        <v>0.37028350320467784</v>
      </c>
      <c r="J35" s="8">
        <f t="shared" ref="J35:J36" si="103">+J4/F4-1</f>
        <v>0.3388866845137346</v>
      </c>
      <c r="K35" s="8">
        <f t="shared" ref="K35:K36" si="104">+K4/G4-1</f>
        <v>0.30876027675027329</v>
      </c>
      <c r="L35" s="8">
        <f t="shared" ref="L35:L36" si="105">+L4/H4-1</f>
        <v>0.31071753475468911</v>
      </c>
      <c r="M35" s="8">
        <f>+M4/I4-1</f>
        <v>0.40841746858074357</v>
      </c>
      <c r="N35" s="8">
        <f t="shared" ref="N35" si="106">+N4/J4-1</f>
        <v>0.33656824385748374</v>
      </c>
      <c r="O35" s="8">
        <f t="shared" ref="O35" si="107">+O4/K4-1</f>
        <v>0.32860553391973091</v>
      </c>
      <c r="P35" s="8">
        <f t="shared" ref="P35" si="108">+P4/L4-1</f>
        <v>0.30151547821721314</v>
      </c>
      <c r="Z35" s="8">
        <f>+Z4/Y4-1</f>
        <v>0.39388927202955482</v>
      </c>
      <c r="AA35" s="8">
        <f>+AA4/Z4-1</f>
        <v>0.34278424239438099</v>
      </c>
      <c r="AB35" s="8">
        <f t="shared" ref="AB35:AI35" si="109">+AB4/AA4-1</f>
        <v>0.25</v>
      </c>
      <c r="AC35" s="8">
        <f t="shared" si="109"/>
        <v>0.25</v>
      </c>
      <c r="AD35" s="8">
        <f t="shared" si="109"/>
        <v>0.25</v>
      </c>
      <c r="AE35" s="8">
        <f t="shared" si="109"/>
        <v>0.25</v>
      </c>
      <c r="AF35" s="8">
        <f t="shared" si="109"/>
        <v>0.25</v>
      </c>
      <c r="AG35" s="8">
        <f t="shared" si="109"/>
        <v>0.19999999999999996</v>
      </c>
      <c r="AH35" s="8">
        <f t="shared" si="109"/>
        <v>0.17999999999999994</v>
      </c>
      <c r="AI35" s="8">
        <f t="shared" si="109"/>
        <v>0.17999999999999994</v>
      </c>
    </row>
    <row r="36" spans="2:35" x14ac:dyDescent="0.25">
      <c r="B36" s="1" t="s">
        <v>1</v>
      </c>
      <c r="G36" s="8">
        <f t="shared" si="100"/>
        <v>-0.13036985986675864</v>
      </c>
      <c r="H36" s="8">
        <f t="shared" si="101"/>
        <v>-0.16556088116544287</v>
      </c>
      <c r="I36" s="8">
        <f t="shared" si="102"/>
        <v>-0.21696458992961198</v>
      </c>
      <c r="J36" s="8">
        <f t="shared" si="103"/>
        <v>-0.26619411588880815</v>
      </c>
      <c r="K36" s="8">
        <f t="shared" si="104"/>
        <v>-0.30790296306080223</v>
      </c>
      <c r="L36" s="8">
        <f t="shared" si="105"/>
        <v>-0.34823576016524715</v>
      </c>
      <c r="M36" s="8">
        <f>+M5/I5-1</f>
        <v>-0.68660122048288663</v>
      </c>
      <c r="N36" s="8"/>
      <c r="O36" s="8"/>
      <c r="P36" s="8"/>
      <c r="Z36" s="8">
        <f>+Z5/Y5-1</f>
        <v>-0.19257408443535051</v>
      </c>
      <c r="AA36" s="8">
        <f>+AA5/Z5-1</f>
        <v>-0.55663459566015749</v>
      </c>
      <c r="AB36" s="8">
        <f t="shared" ref="AB36:AI36" si="110">+AB5/AA5-1</f>
        <v>-3.0000000000000027E-2</v>
      </c>
      <c r="AC36" s="8">
        <f t="shared" si="110"/>
        <v>-3.0000000000000027E-2</v>
      </c>
      <c r="AD36" s="8">
        <f t="shared" si="110"/>
        <v>-3.0000000000000138E-2</v>
      </c>
      <c r="AE36" s="8">
        <f t="shared" si="110"/>
        <v>-3.0000000000000027E-2</v>
      </c>
      <c r="AF36" s="8">
        <f t="shared" si="110"/>
        <v>-3.0000000000000138E-2</v>
      </c>
      <c r="AG36" s="8">
        <f t="shared" si="110"/>
        <v>-3.0000000000000027E-2</v>
      </c>
      <c r="AH36" s="8">
        <f t="shared" si="110"/>
        <v>-2.9999999999999916E-2</v>
      </c>
      <c r="AI36" s="8">
        <f t="shared" si="110"/>
        <v>-3.0000000000000027E-2</v>
      </c>
    </row>
    <row r="37" spans="2:35" x14ac:dyDescent="0.25">
      <c r="B37" s="1" t="s">
        <v>109</v>
      </c>
      <c r="G37" s="8"/>
      <c r="H37" s="8"/>
      <c r="I37" s="8"/>
      <c r="J37" s="8"/>
      <c r="K37" s="8"/>
      <c r="L37" s="8"/>
      <c r="M37" s="8"/>
      <c r="N37" s="8"/>
      <c r="O37" s="8"/>
      <c r="P37" s="7">
        <f>+P14/L14-1</f>
        <v>0.29661517735490883</v>
      </c>
      <c r="Z37" s="8">
        <f t="shared" ref="Z37" si="111">+Z14/Y14-1</f>
        <v>0.37618118757522656</v>
      </c>
      <c r="AA37" s="8">
        <f>+AA14/Z14-1</f>
        <v>0.29412687041656227</v>
      </c>
      <c r="AB37" s="8"/>
      <c r="AC37" s="8"/>
      <c r="AD37" s="8"/>
      <c r="AE37" s="8"/>
      <c r="AF37" s="8"/>
      <c r="AG37" s="8"/>
      <c r="AH37" s="8"/>
      <c r="AI37" s="8"/>
    </row>
    <row r="38" spans="2:35" x14ac:dyDescent="0.25">
      <c r="B38" s="1" t="s">
        <v>69</v>
      </c>
      <c r="G38" s="8"/>
      <c r="H38" s="8"/>
      <c r="I38" s="8"/>
      <c r="J38" s="8"/>
      <c r="K38" s="8"/>
      <c r="L38" s="8"/>
      <c r="M38" s="8"/>
      <c r="N38" s="8"/>
      <c r="O38" s="8"/>
      <c r="P38" s="7">
        <f t="shared" ref="P38" si="112">+P15/L15-1</f>
        <v>0.31854577482730262</v>
      </c>
      <c r="Z38" s="8">
        <f t="shared" ref="Z38:AA38" si="113">+Z15/Y15-1</f>
        <v>0.46211533073124422</v>
      </c>
      <c r="AA38" s="8">
        <f t="shared" si="113"/>
        <v>0.47512544995367723</v>
      </c>
      <c r="AB38" s="8"/>
      <c r="AC38" s="8"/>
      <c r="AD38" s="8"/>
      <c r="AE38" s="8"/>
      <c r="AF38" s="8"/>
      <c r="AG38" s="8"/>
      <c r="AH38" s="8"/>
      <c r="AI38" s="8"/>
    </row>
    <row r="39" spans="2:35" x14ac:dyDescent="0.25">
      <c r="B39" s="4" t="s">
        <v>19</v>
      </c>
      <c r="C39" s="4"/>
      <c r="D39" s="4"/>
      <c r="E39" s="4"/>
      <c r="F39" s="4"/>
      <c r="G39" s="9">
        <f t="shared" ref="G39" si="114">+G19/C19-1</f>
        <v>0.31491928654254542</v>
      </c>
      <c r="H39" s="9">
        <f t="shared" ref="H39" si="115">+H19/D19-1</f>
        <v>0.26749607131756803</v>
      </c>
      <c r="I39" s="9">
        <f t="shared" ref="I39" si="116">+I19/E19-1</f>
        <v>0.23627836124949519</v>
      </c>
      <c r="J39" s="9">
        <f t="shared" ref="J39" si="117">+J19/F19-1</f>
        <v>0.23591382934061222</v>
      </c>
      <c r="K39" s="9">
        <f t="shared" ref="K39" si="118">+K19/G19-1</f>
        <v>0.21102884348618778</v>
      </c>
      <c r="L39" s="9">
        <f t="shared" ref="L39" si="119">+L19/H19-1</f>
        <v>0.21474176811381662</v>
      </c>
      <c r="M39" s="9">
        <f>+M19/I19-1</f>
        <v>0.29895035572552597</v>
      </c>
      <c r="N39" s="9">
        <f t="shared" ref="N39" si="120">+N19/J19-1</f>
        <v>0.20497541257674912</v>
      </c>
      <c r="O39" s="9">
        <f t="shared" ref="O39" si="121">+O19/K19-1</f>
        <v>0.21477947380532347</v>
      </c>
      <c r="P39" s="9">
        <f t="shared" ref="P39" si="122">+P19/L19-1</f>
        <v>0.21351840846704562</v>
      </c>
      <c r="Q39" s="4"/>
      <c r="R39" s="4"/>
      <c r="S39" s="4"/>
      <c r="T39" s="9">
        <f t="shared" ref="T39" si="123">+T19/S19-1</f>
        <v>0.37103478451104799</v>
      </c>
      <c r="U39" s="9">
        <f t="shared" ref="U39" si="124">+U19/T19-1</f>
        <v>0.40577628849529268</v>
      </c>
      <c r="V39" s="9">
        <f t="shared" ref="V39" si="125">+V19/U19-1</f>
        <v>0.37355278093076039</v>
      </c>
      <c r="W39" s="9">
        <f t="shared" ref="W39" si="126">+W19/V19-1</f>
        <v>0.33393934385587976</v>
      </c>
      <c r="X39" s="9">
        <f t="shared" ref="X39" si="127">+X19/W19-1</f>
        <v>0.29420146202453212</v>
      </c>
      <c r="Y39" s="9">
        <f t="shared" ref="Y39" si="128">+Y19/X19-1</f>
        <v>0.3416696184960033</v>
      </c>
      <c r="Z39" s="9">
        <f t="shared" ref="Z39" si="129">+Z19/Y19-1</f>
        <v>0.26107592114116795</v>
      </c>
      <c r="AA39" s="9">
        <f>+AA19/Z19-1</f>
        <v>0.23310842638600127</v>
      </c>
      <c r="AB39" s="9">
        <f t="shared" ref="AB39:AI39" si="130">+AB19/AA19-1</f>
        <v>0.22623297189489366</v>
      </c>
      <c r="AC39" s="9">
        <f t="shared" si="130"/>
        <v>0.23049250640177465</v>
      </c>
      <c r="AD39" s="9">
        <f t="shared" si="130"/>
        <v>0.23402480972643169</v>
      </c>
      <c r="AE39" s="9">
        <f t="shared" si="130"/>
        <v>0.23693930675322172</v>
      </c>
      <c r="AF39" s="9">
        <f t="shared" si="130"/>
        <v>0.2393345832415783</v>
      </c>
      <c r="AG39" s="9">
        <f t="shared" si="130"/>
        <v>0.19316540511274827</v>
      </c>
      <c r="AH39" s="9">
        <f t="shared" si="130"/>
        <v>0.17484482530388701</v>
      </c>
      <c r="AI39" s="9">
        <f t="shared" si="130"/>
        <v>0.17556095462756827</v>
      </c>
    </row>
    <row r="41" spans="2:35" x14ac:dyDescent="0.25">
      <c r="B41" s="1" t="s">
        <v>20</v>
      </c>
      <c r="C41" s="8">
        <f t="shared" ref="C41:F41" si="131">+C21/C19</f>
        <v>0.84036780321290372</v>
      </c>
      <c r="D41" s="8">
        <f t="shared" si="131"/>
        <v>0.83274269962209113</v>
      </c>
      <c r="E41" s="8">
        <f t="shared" si="131"/>
        <v>0.83879074830078959</v>
      </c>
      <c r="F41" s="8">
        <f t="shared" si="131"/>
        <v>0.82476070651623168</v>
      </c>
      <c r="G41" s="8">
        <f t="shared" ref="G41" si="132">+G21/G19</f>
        <v>0.82735523760453422</v>
      </c>
      <c r="H41" s="8">
        <f t="shared" ref="H41:J41" si="133">+H21/H19</f>
        <v>0.82130825572015265</v>
      </c>
      <c r="I41" s="8">
        <f t="shared" si="133"/>
        <v>0.81577208223688158</v>
      </c>
      <c r="J41" s="8">
        <f t="shared" si="133"/>
        <v>0.81921375617880132</v>
      </c>
      <c r="K41" s="8">
        <f t="shared" ref="K41" si="134">+K21/K19</f>
        <v>0.81792436910332134</v>
      </c>
      <c r="L41" s="8">
        <f t="shared" ref="L41:M41" si="135">+L21/L19</f>
        <v>0.81649451472017054</v>
      </c>
      <c r="M41" s="8">
        <f t="shared" si="135"/>
        <v>0.82051974219764401</v>
      </c>
      <c r="N41" s="8">
        <f t="shared" ref="N41:O41" si="136">+N21/N19</f>
        <v>0.80778815648777391</v>
      </c>
      <c r="O41" s="8">
        <f t="shared" si="136"/>
        <v>0.81678103960241832</v>
      </c>
      <c r="P41" s="8">
        <f t="shared" ref="P41" si="137">+P21/P19</f>
        <v>0.82655777896449412</v>
      </c>
      <c r="S41" s="8">
        <f t="shared" ref="S41:X41" si="138">+S21/S19</f>
        <v>0.83417195362065188</v>
      </c>
      <c r="T41" s="8">
        <f t="shared" si="138"/>
        <v>0.80979735120472307</v>
      </c>
      <c r="U41" s="8">
        <f t="shared" si="138"/>
        <v>0.80397275822928482</v>
      </c>
      <c r="V41" s="8">
        <f t="shared" si="138"/>
        <v>0.82621270969341376</v>
      </c>
      <c r="W41" s="8">
        <f t="shared" si="138"/>
        <v>0.83347788378143972</v>
      </c>
      <c r="X41" s="8">
        <f t="shared" si="138"/>
        <v>0.84117562586759853</v>
      </c>
      <c r="Y41" s="8">
        <f t="shared" ref="Y41:Z41" si="139">+Y21/Y19</f>
        <v>0.83841132091896853</v>
      </c>
      <c r="Z41" s="8">
        <f t="shared" si="139"/>
        <v>0.82069920985037548</v>
      </c>
      <c r="AA41" s="8">
        <f>+AA21/AA19</f>
        <v>0.81565308884521026</v>
      </c>
      <c r="AB41" s="8">
        <f t="shared" ref="AB41:AI41" si="140">+AB21/AB19</f>
        <v>0.82</v>
      </c>
      <c r="AC41" s="8">
        <f t="shared" si="140"/>
        <v>0.83</v>
      </c>
      <c r="AD41" s="8">
        <f t="shared" si="140"/>
        <v>0.83</v>
      </c>
      <c r="AE41" s="8">
        <f t="shared" si="140"/>
        <v>0.83</v>
      </c>
      <c r="AF41" s="8">
        <f t="shared" si="140"/>
        <v>0.83000000000000007</v>
      </c>
      <c r="AG41" s="8">
        <f t="shared" si="140"/>
        <v>0.83</v>
      </c>
      <c r="AH41" s="8">
        <f t="shared" si="140"/>
        <v>0.83000000000000007</v>
      </c>
      <c r="AI41" s="8">
        <f t="shared" si="140"/>
        <v>0.83000000000000007</v>
      </c>
    </row>
    <row r="42" spans="2:35" x14ac:dyDescent="0.25">
      <c r="B42" s="1" t="s">
        <v>21</v>
      </c>
      <c r="C42" s="8">
        <f t="shared" ref="C42:F42" si="141">+C26/C19</f>
        <v>6.4567508761872436E-2</v>
      </c>
      <c r="D42" s="8">
        <f t="shared" si="141"/>
        <v>-9.6899753967170377E-2</v>
      </c>
      <c r="E42" s="8">
        <f t="shared" si="141"/>
        <v>-2.1785544996495498E-2</v>
      </c>
      <c r="F42" s="8">
        <f t="shared" si="141"/>
        <v>-8.3245047319110241E-2</v>
      </c>
      <c r="G42" s="8">
        <f t="shared" ref="G42" si="142">+G26/G19</f>
        <v>-4.21443363322897E-2</v>
      </c>
      <c r="H42" s="8">
        <f t="shared" ref="H42:J42" si="143">+H26/H19</f>
        <v>-0.11371438655030792</v>
      </c>
      <c r="I42" s="8">
        <f t="shared" si="143"/>
        <v>-0.17648857997079068</v>
      </c>
      <c r="J42" s="8">
        <f t="shared" si="143"/>
        <v>-5.3656806850829082E-2</v>
      </c>
      <c r="K42" s="8">
        <f t="shared" ref="K42" si="144">+K26/K19</f>
        <v>-1.929789573265836E-2</v>
      </c>
      <c r="L42" s="8">
        <f t="shared" ref="L42:M42" si="145">+L26/L19</f>
        <v>-4.6280103008178294E-2</v>
      </c>
      <c r="M42" s="8">
        <f t="shared" si="145"/>
        <v>1.4972315848251807E-2</v>
      </c>
      <c r="N42" s="8">
        <f t="shared" ref="N42:O42" si="146">+N26/N19</f>
        <v>-5.9164538392880744E-2</v>
      </c>
      <c r="O42" s="8">
        <f t="shared" si="146"/>
        <v>-2.6922471398346862E-2</v>
      </c>
      <c r="P42" s="8">
        <f t="shared" ref="P42" si="147">+P26/P19</f>
        <v>-4.4679870311077771E-2</v>
      </c>
      <c r="S42" s="8">
        <f t="shared" ref="S42:X42" si="148">+S26/S19</f>
        <v>-1.2907460074381923E-2</v>
      </c>
      <c r="T42" s="8">
        <f t="shared" si="148"/>
        <v>-8.9197383117919221E-2</v>
      </c>
      <c r="U42" s="8">
        <f t="shared" si="148"/>
        <v>-5.2213393870601588E-2</v>
      </c>
      <c r="V42" s="8">
        <f t="shared" si="148"/>
        <v>-5.2392364267415996E-2</v>
      </c>
      <c r="W42" s="8">
        <f t="shared" si="148"/>
        <v>8.7349770784290268E-3</v>
      </c>
      <c r="X42" s="8">
        <f t="shared" si="148"/>
        <v>6.7684648891867247E-2</v>
      </c>
      <c r="Y42" s="8">
        <f t="shared" ref="Y42:Z42" si="149">+Y26/Y19</f>
        <v>2.5003906693182421E-2</v>
      </c>
      <c r="Z42" s="8">
        <f t="shared" si="149"/>
        <v>-9.7668027387176212E-2</v>
      </c>
      <c r="AA42" s="8">
        <f>+AA26/AA19</f>
        <v>-2.6861129586704575E-2</v>
      </c>
      <c r="AB42" s="8">
        <f t="shared" ref="AB42:AI42" si="150">+AB26/AB19</f>
        <v>1.0000000000000023E-2</v>
      </c>
      <c r="AC42" s="8">
        <f t="shared" si="150"/>
        <v>0.13999999999999996</v>
      </c>
      <c r="AD42" s="8">
        <f t="shared" si="150"/>
        <v>0.15999999999999995</v>
      </c>
      <c r="AE42" s="8">
        <f t="shared" si="150"/>
        <v>0.18999999999999995</v>
      </c>
      <c r="AF42" s="8">
        <f t="shared" si="150"/>
        <v>0.24000000000000005</v>
      </c>
      <c r="AG42" s="8">
        <f t="shared" si="150"/>
        <v>0.26</v>
      </c>
      <c r="AH42" s="8">
        <f t="shared" si="150"/>
        <v>0.27</v>
      </c>
      <c r="AI42" s="8">
        <f t="shared" si="150"/>
        <v>0.27999999999999997</v>
      </c>
    </row>
    <row r="43" spans="2:35" x14ac:dyDescent="0.25">
      <c r="B43" s="1" t="s">
        <v>22</v>
      </c>
      <c r="C43" s="8">
        <f t="shared" ref="C43:F43" si="151">+C31/C19</f>
        <v>-0.65160645186507371</v>
      </c>
      <c r="D43" s="8">
        <f t="shared" si="151"/>
        <v>-0.12663864545420211</v>
      </c>
      <c r="E43" s="8">
        <f t="shared" si="151"/>
        <v>-4.1981604097821514E-2</v>
      </c>
      <c r="F43" s="8">
        <f t="shared" si="151"/>
        <v>-0.13879614287725989</v>
      </c>
      <c r="G43" s="8">
        <f t="shared" ref="G43" si="152">+G31/G19</f>
        <v>-1.7018994490904101E-2</v>
      </c>
      <c r="H43" s="8">
        <f t="shared" ref="H43:J43" si="153">+H31/H19</f>
        <v>-0.23493761916984446</v>
      </c>
      <c r="I43" s="8">
        <f t="shared" si="153"/>
        <v>-0.22834268935707269</v>
      </c>
      <c r="J43" s="8">
        <f t="shared" si="153"/>
        <v>-6.2775131029988232E-2</v>
      </c>
      <c r="K43" s="8">
        <f t="shared" ref="K43" si="154">+K31/K19</f>
        <v>-3.2607706271892849E-2</v>
      </c>
      <c r="L43" s="8">
        <f t="shared" ref="L43:M43" si="155">+L31/L19</f>
        <v>-7.9679467225099193E-2</v>
      </c>
      <c r="M43" s="8">
        <f t="shared" si="155"/>
        <v>1.0723824516788754E-2</v>
      </c>
      <c r="N43" s="8">
        <f t="shared" ref="N43:O43" si="156">+N31/N19</f>
        <v>-0.17401974213275118</v>
      </c>
      <c r="O43" s="8">
        <f t="shared" si="156"/>
        <v>-0.104201868863031</v>
      </c>
      <c r="P43" s="8">
        <f t="shared" ref="P43" si="157">+P31/P19</f>
        <v>-4.3653023833565403E-2</v>
      </c>
      <c r="Y43" s="8">
        <f t="shared" ref="Y43:Z43" si="158">+Y31/Y19</f>
        <v>-0.18534850914166184</v>
      </c>
      <c r="Z43" s="8">
        <f t="shared" si="158"/>
        <v>-0.13771134713027927</v>
      </c>
      <c r="AA43" s="8">
        <f>+AA31/AA19</f>
        <v>-6.8948468121551629E-2</v>
      </c>
      <c r="AB43" s="8">
        <f t="shared" ref="AB43:AI43" si="159">+AB31/AB19</f>
        <v>3.5857796498630704E-2</v>
      </c>
      <c r="AC43" s="8">
        <f t="shared" si="159"/>
        <v>0.13608338607798254</v>
      </c>
      <c r="AD43" s="8">
        <f t="shared" si="159"/>
        <v>0.15750479690168026</v>
      </c>
      <c r="AE43" s="8">
        <f t="shared" si="159"/>
        <v>0.18731787431009667</v>
      </c>
      <c r="AF43" s="8">
        <f t="shared" si="159"/>
        <v>0.23395897257938275</v>
      </c>
      <c r="AG43" s="8">
        <f t="shared" si="159"/>
        <v>0.26116618538786801</v>
      </c>
      <c r="AH43" s="8">
        <f t="shared" si="159"/>
        <v>0.28184074515058555</v>
      </c>
      <c r="AI43" s="8">
        <f t="shared" si="159"/>
        <v>0.30223301442249784</v>
      </c>
    </row>
    <row r="45" spans="2:35" x14ac:dyDescent="0.25">
      <c r="B45" s="1" t="s">
        <v>23</v>
      </c>
      <c r="G45" s="7">
        <f t="shared" ref="G45:I46" si="160">+G22/G$19</f>
        <v>0.4941911735563394</v>
      </c>
      <c r="H45" s="7">
        <f t="shared" si="160"/>
        <v>0.5427682238193019</v>
      </c>
      <c r="I45" s="7">
        <f t="shared" si="160"/>
        <v>0.5705852730833807</v>
      </c>
      <c r="J45" s="7">
        <f t="shared" ref="J45" si="161">+J22/J$19</f>
        <v>0.50565010254520815</v>
      </c>
      <c r="K45" s="7">
        <f t="shared" ref="K45" si="162">+K22/K$19</f>
        <v>0.49268799059088236</v>
      </c>
      <c r="L45" s="7">
        <f t="shared" ref="L45:N46" si="163">+L22/L$19</f>
        <v>0.50634273801775276</v>
      </c>
      <c r="M45" s="7">
        <f t="shared" si="163"/>
        <v>0.48480062701408094</v>
      </c>
      <c r="N45" s="7">
        <f t="shared" si="163"/>
        <v>0.52059844996862814</v>
      </c>
      <c r="O45" s="7">
        <f t="shared" ref="O45:P45" si="164">+O22/O$19</f>
        <v>0.50775437559617465</v>
      </c>
      <c r="P45" s="7">
        <f t="shared" si="164"/>
        <v>0.52874664875709598</v>
      </c>
      <c r="Y45" s="7">
        <f>+Y22/Y$19</f>
        <v>0.46091023453716556</v>
      </c>
      <c r="Z45" s="7">
        <f t="shared" ref="Z45:AA45" si="165">+Z22/Z$19</f>
        <v>0.52901492001888739</v>
      </c>
      <c r="AA45" s="7">
        <f t="shared" si="165"/>
        <v>0.50110344988979261</v>
      </c>
      <c r="AB45" s="7">
        <f t="shared" ref="AB45:AI45" si="166">+AB22/AB$19</f>
        <v>0.48</v>
      </c>
      <c r="AC45" s="7">
        <f t="shared" si="166"/>
        <v>0.4</v>
      </c>
      <c r="AD45" s="7">
        <f t="shared" si="166"/>
        <v>0.39</v>
      </c>
      <c r="AE45" s="7">
        <f t="shared" si="166"/>
        <v>0.38</v>
      </c>
      <c r="AF45" s="7">
        <f t="shared" si="166"/>
        <v>0.35</v>
      </c>
      <c r="AG45" s="7">
        <f t="shared" si="166"/>
        <v>0.33</v>
      </c>
      <c r="AH45" s="7">
        <f t="shared" si="166"/>
        <v>0.32</v>
      </c>
      <c r="AI45" s="7">
        <f t="shared" si="166"/>
        <v>0.31</v>
      </c>
    </row>
    <row r="46" spans="2:35" x14ac:dyDescent="0.25">
      <c r="B46" s="1" t="s">
        <v>24</v>
      </c>
      <c r="G46" s="7">
        <f t="shared" si="160"/>
        <v>0.19832745432206411</v>
      </c>
      <c r="H46" s="7">
        <f t="shared" si="160"/>
        <v>0.21334954348782637</v>
      </c>
      <c r="I46" s="7">
        <f t="shared" si="160"/>
        <v>0.24132424056723831</v>
      </c>
      <c r="J46" s="7">
        <f t="shared" ref="J46" si="167">+J23/J$19</f>
        <v>0.21576129434840663</v>
      </c>
      <c r="K46" s="7">
        <f t="shared" ref="K46" si="168">+K23/K$19</f>
        <v>0.19796681240571706</v>
      </c>
      <c r="L46" s="7">
        <f t="shared" si="163"/>
        <v>0.20800954617917006</v>
      </c>
      <c r="M46" s="7">
        <f t="shared" si="163"/>
        <v>0.18821691188837536</v>
      </c>
      <c r="N46" s="7">
        <f t="shared" si="163"/>
        <v>0.21174011788722061</v>
      </c>
      <c r="O46" s="7">
        <f t="shared" ref="O46:P46" si="169">+O23/O$19</f>
        <v>0.21249119155803972</v>
      </c>
      <c r="P46" s="7">
        <f t="shared" si="169"/>
        <v>0.21135003494076396</v>
      </c>
      <c r="Y46" s="7">
        <f>+Y23/Y$19</f>
        <v>0.19116573583903995</v>
      </c>
      <c r="Z46" s="7">
        <f t="shared" ref="Z46:AA46" si="170">+Z23/Z$19</f>
        <v>0.21780421071750589</v>
      </c>
      <c r="AA46" s="7">
        <f t="shared" si="170"/>
        <v>0.20132528702430572</v>
      </c>
      <c r="AB46" s="7">
        <f t="shared" ref="AB46:AI46" si="171">+AB23/AB$19</f>
        <v>0.2</v>
      </c>
      <c r="AC46" s="7">
        <f t="shared" si="171"/>
        <v>0.17</v>
      </c>
      <c r="AD46" s="7">
        <f t="shared" si="171"/>
        <v>0.17</v>
      </c>
      <c r="AE46" s="7">
        <f t="shared" si="171"/>
        <v>0.15</v>
      </c>
      <c r="AF46" s="7">
        <f t="shared" si="171"/>
        <v>0.13</v>
      </c>
      <c r="AG46" s="7">
        <f t="shared" si="171"/>
        <v>0.13</v>
      </c>
      <c r="AH46" s="7">
        <f t="shared" si="171"/>
        <v>0.13</v>
      </c>
      <c r="AI46" s="7">
        <f t="shared" si="171"/>
        <v>0.13</v>
      </c>
    </row>
    <row r="47" spans="2:35" x14ac:dyDescent="0.25">
      <c r="B47" s="1" t="s">
        <v>25</v>
      </c>
      <c r="G47" s="7">
        <f t="shared" ref="G47" si="172">+G24/G$19</f>
        <v>0.17698094605842021</v>
      </c>
      <c r="H47" s="7">
        <f t="shared" ref="H47:J47" si="173">+H24/H$19</f>
        <v>0.17890487496333238</v>
      </c>
      <c r="I47" s="7">
        <f t="shared" si="173"/>
        <v>0.1803511485570532</v>
      </c>
      <c r="J47" s="7">
        <f t="shared" si="173"/>
        <v>0.15145916613601562</v>
      </c>
      <c r="K47" s="7">
        <f t="shared" ref="K47:L47" si="174">+K24/K$19</f>
        <v>0.14656746183938024</v>
      </c>
      <c r="L47" s="7">
        <f t="shared" si="174"/>
        <v>0.14842233353142595</v>
      </c>
      <c r="M47" s="7">
        <f t="shared" ref="M47:N47" si="175">+M24/M$19</f>
        <v>0.13252988744693592</v>
      </c>
      <c r="N47" s="7">
        <f t="shared" si="175"/>
        <v>0.1346141270248058</v>
      </c>
      <c r="O47" s="7">
        <f t="shared" ref="O47:P47" si="176">+O24/O$19</f>
        <v>0.12345794384655082</v>
      </c>
      <c r="P47" s="7">
        <f t="shared" si="176"/>
        <v>0.1311409655777119</v>
      </c>
      <c r="Y47" s="7">
        <f t="shared" ref="Y47:AA47" si="177">+Y24/Y$19</f>
        <v>0.16133144384958051</v>
      </c>
      <c r="Z47" s="7">
        <f t="shared" si="177"/>
        <v>0.17154810650115837</v>
      </c>
      <c r="AA47" s="7">
        <f t="shared" si="177"/>
        <v>0.14008548151781661</v>
      </c>
      <c r="AB47" s="7">
        <f t="shared" ref="AB47:AI47" si="178">+AB24/AB$19</f>
        <v>0.13</v>
      </c>
      <c r="AC47" s="7">
        <f t="shared" si="178"/>
        <v>0.12</v>
      </c>
      <c r="AD47" s="7">
        <f t="shared" si="178"/>
        <v>0.11</v>
      </c>
      <c r="AE47" s="7">
        <f t="shared" si="178"/>
        <v>0.11000000000000001</v>
      </c>
      <c r="AF47" s="7">
        <f t="shared" si="178"/>
        <v>0.11</v>
      </c>
      <c r="AG47" s="7">
        <f t="shared" si="178"/>
        <v>0.11</v>
      </c>
      <c r="AH47" s="7">
        <f t="shared" si="178"/>
        <v>0.11</v>
      </c>
      <c r="AI47" s="7">
        <f t="shared" si="178"/>
        <v>0.11</v>
      </c>
    </row>
    <row r="49" spans="2:27" x14ac:dyDescent="0.25">
      <c r="B49" s="1" t="s">
        <v>16</v>
      </c>
      <c r="P49" s="2"/>
      <c r="Y49" s="2">
        <f>+Y31</f>
        <v>-519.50999999999954</v>
      </c>
      <c r="Z49" s="2">
        <f t="shared" ref="Z49:AA49" si="179">+Z31</f>
        <v>-486.76100000000025</v>
      </c>
      <c r="AA49" s="2">
        <f t="shared" si="179"/>
        <v>-300.51899999999932</v>
      </c>
    </row>
    <row r="50" spans="2:27" x14ac:dyDescent="0.25">
      <c r="B50" s="1" t="s">
        <v>26</v>
      </c>
      <c r="P50" s="2"/>
      <c r="Y50" s="2">
        <v>51.738999999999997</v>
      </c>
      <c r="Z50" s="2">
        <v>60.923000000000002</v>
      </c>
      <c r="AA50" s="2">
        <v>78.738</v>
      </c>
    </row>
    <row r="51" spans="2:27" x14ac:dyDescent="0.25">
      <c r="B51" s="1" t="s">
        <v>27</v>
      </c>
      <c r="P51" s="2"/>
      <c r="Y51" s="2">
        <v>524.803</v>
      </c>
      <c r="Z51" s="2">
        <v>948.08699999999999</v>
      </c>
      <c r="AA51" s="2">
        <v>1081.433</v>
      </c>
    </row>
    <row r="52" spans="2:27" x14ac:dyDescent="0.25">
      <c r="B52" s="1" t="s">
        <v>28</v>
      </c>
      <c r="P52" s="2"/>
      <c r="Y52" s="2"/>
      <c r="Z52" s="2">
        <v>61.097999999999999</v>
      </c>
      <c r="AA52" s="2"/>
    </row>
    <row r="53" spans="2:27" x14ac:dyDescent="0.25">
      <c r="B53" s="1" t="s">
        <v>29</v>
      </c>
      <c r="P53" s="2"/>
      <c r="Y53" s="2">
        <v>-2.0019999999999998</v>
      </c>
      <c r="Z53" s="2">
        <v>10.613</v>
      </c>
      <c r="AA53" s="2">
        <v>0.11899999999999999</v>
      </c>
    </row>
    <row r="54" spans="2:27" x14ac:dyDescent="0.25">
      <c r="B54" s="1" t="s">
        <v>30</v>
      </c>
      <c r="P54" s="2"/>
      <c r="Y54" s="2"/>
      <c r="Z54" s="2">
        <v>-45.158000000000001</v>
      </c>
      <c r="AA54" s="2">
        <v>-1.3779999999999999</v>
      </c>
    </row>
    <row r="55" spans="2:27" x14ac:dyDescent="0.25">
      <c r="B55" s="1" t="s">
        <v>31</v>
      </c>
      <c r="P55" s="2"/>
      <c r="Y55" s="2"/>
      <c r="Z55" s="2"/>
      <c r="AA55" s="2">
        <v>-4.1660000000000004</v>
      </c>
    </row>
    <row r="56" spans="2:27" x14ac:dyDescent="0.25">
      <c r="B56" s="1" t="s">
        <v>36</v>
      </c>
      <c r="P56" s="2"/>
      <c r="Y56" s="2">
        <v>424.48200000000003</v>
      </c>
      <c r="Z56" s="2"/>
      <c r="AA56" s="2"/>
    </row>
    <row r="57" spans="2:27" x14ac:dyDescent="0.25">
      <c r="B57" s="1" t="s">
        <v>37</v>
      </c>
      <c r="P57" s="2"/>
      <c r="Y57" s="2">
        <v>27.050999999999998</v>
      </c>
      <c r="Z57" s="2">
        <v>0.47099999999999997</v>
      </c>
      <c r="AA57" s="2">
        <v>0.91900000000000004</v>
      </c>
    </row>
    <row r="58" spans="2:27" x14ac:dyDescent="0.25">
      <c r="B58" s="1" t="s">
        <v>32</v>
      </c>
      <c r="P58" s="2"/>
      <c r="Y58" s="2">
        <v>72.662999999999997</v>
      </c>
      <c r="Z58" s="2">
        <v>19.407</v>
      </c>
      <c r="AA58" s="2">
        <v>13.337</v>
      </c>
    </row>
    <row r="59" spans="2:27" x14ac:dyDescent="0.25">
      <c r="B59" s="1" t="s">
        <v>33</v>
      </c>
      <c r="P59" s="2"/>
      <c r="Y59" s="2">
        <v>-12.065</v>
      </c>
      <c r="Z59" s="2">
        <v>-10.613</v>
      </c>
      <c r="AA59" s="2">
        <v>2.3010000000000002</v>
      </c>
    </row>
    <row r="60" spans="2:27" x14ac:dyDescent="0.25">
      <c r="B60" s="1" t="s">
        <v>2</v>
      </c>
      <c r="P60" s="2"/>
      <c r="Y60" s="2">
        <v>0.64600000000000002</v>
      </c>
      <c r="Z60" s="2">
        <v>1.488</v>
      </c>
      <c r="AA60" s="2">
        <v>0.38600000000000001</v>
      </c>
    </row>
    <row r="61" spans="2:27" x14ac:dyDescent="0.25">
      <c r="B61" s="1" t="s">
        <v>34</v>
      </c>
      <c r="P61" s="2"/>
      <c r="Y61" s="2">
        <f>-134.764-21.927+31.741+93.25+284.937</f>
        <v>253.23700000000002</v>
      </c>
      <c r="Z61" s="2">
        <f>-169.526-38.23+78.902+74.611+362.799</f>
        <v>308.55599999999998</v>
      </c>
      <c r="AA61" s="2">
        <f>-148.469-3.122+18.15+158.123+552.307</f>
        <v>576.98900000000003</v>
      </c>
    </row>
    <row r="62" spans="2:27" x14ac:dyDescent="0.25">
      <c r="B62" s="4" t="s">
        <v>35</v>
      </c>
      <c r="C62" s="5">
        <v>78.385999999999996</v>
      </c>
      <c r="D62" s="5">
        <v>221.684</v>
      </c>
      <c r="E62" s="5">
        <v>353.029</v>
      </c>
      <c r="F62" s="5">
        <v>230.39699999999999</v>
      </c>
      <c r="G62" s="5">
        <v>92.441999999999993</v>
      </c>
      <c r="H62" s="5">
        <v>150.52500000000001</v>
      </c>
      <c r="I62" s="5">
        <v>352.36900000000003</v>
      </c>
      <c r="J62" s="5">
        <v>272.77499999999998</v>
      </c>
      <c r="K62" s="5">
        <v>166.95599999999999</v>
      </c>
      <c r="L62" s="5">
        <v>289.59399999999999</v>
      </c>
      <c r="M62" s="5">
        <v>565.39</v>
      </c>
      <c r="N62" s="5">
        <v>426.21899999999999</v>
      </c>
      <c r="O62" s="5">
        <v>80.492000000000004</v>
      </c>
      <c r="P62" s="5">
        <v>351.90499999999997</v>
      </c>
      <c r="Q62" s="4"/>
      <c r="R62" s="4"/>
      <c r="S62" s="5">
        <v>129.5</v>
      </c>
      <c r="T62" s="5">
        <v>199.4</v>
      </c>
      <c r="U62" s="5">
        <v>311.5</v>
      </c>
      <c r="V62" s="5">
        <v>466.3</v>
      </c>
      <c r="W62" s="5">
        <v>574.20000000000005</v>
      </c>
      <c r="X62" s="5">
        <v>790</v>
      </c>
      <c r="Y62" s="5">
        <f>+SUM(Y49:Y61)</f>
        <v>821.04400000000032</v>
      </c>
      <c r="Z62" s="5">
        <f t="shared" ref="Z62:AA62" si="180">+SUM(Z49:Z61)</f>
        <v>868.11099999999988</v>
      </c>
      <c r="AA62" s="5">
        <f t="shared" si="180"/>
        <v>1448.1590000000006</v>
      </c>
    </row>
    <row r="63" spans="2:27" x14ac:dyDescent="0.25">
      <c r="C63" s="2"/>
      <c r="D63" s="2"/>
      <c r="E63" s="2"/>
      <c r="F63" s="2"/>
      <c r="G63" s="2"/>
      <c r="H63" s="2"/>
      <c r="I63" s="2"/>
      <c r="N63" s="2"/>
      <c r="O63" s="2"/>
      <c r="P63" s="2"/>
    </row>
    <row r="64" spans="2:27" x14ac:dyDescent="0.25">
      <c r="B64" s="1" t="s">
        <v>38</v>
      </c>
      <c r="C64" s="2"/>
      <c r="D64" s="2"/>
      <c r="E64" s="2"/>
      <c r="F64" s="2"/>
      <c r="G64" s="2"/>
      <c r="H64" s="2"/>
      <c r="I64" s="2"/>
      <c r="J64" s="2"/>
      <c r="K64" s="2"/>
      <c r="L64" s="2"/>
      <c r="M64" s="2"/>
      <c r="N64" s="2"/>
      <c r="O64" s="2"/>
      <c r="P64" s="2"/>
      <c r="Y64" s="2">
        <v>-19.411000000000001</v>
      </c>
      <c r="Z64" s="2">
        <v>-5.7750000000000004</v>
      </c>
      <c r="AA64" s="2">
        <v>-847.76700000000005</v>
      </c>
    </row>
    <row r="65" spans="1:27" x14ac:dyDescent="0.25">
      <c r="B65" s="1" t="s">
        <v>39</v>
      </c>
      <c r="C65" s="2"/>
      <c r="D65" s="2"/>
      <c r="E65" s="2"/>
      <c r="F65" s="2"/>
      <c r="G65" s="2"/>
      <c r="H65" s="2"/>
      <c r="I65" s="2"/>
      <c r="J65" s="2"/>
      <c r="K65" s="2"/>
      <c r="L65" s="2"/>
      <c r="M65" s="2"/>
      <c r="N65" s="2"/>
      <c r="O65" s="2"/>
      <c r="P65" s="2"/>
      <c r="Y65" s="2">
        <v>-4.0179999999999998</v>
      </c>
      <c r="Z65" s="2">
        <v>-0.16</v>
      </c>
      <c r="AA65" s="2">
        <v>-0.53500000000000003</v>
      </c>
    </row>
    <row r="66" spans="1:27" x14ac:dyDescent="0.25">
      <c r="B66" s="1" t="s">
        <v>40</v>
      </c>
      <c r="C66" s="2">
        <v>-6.8810000000000002</v>
      </c>
      <c r="D66" s="2">
        <v>-12.581</v>
      </c>
      <c r="E66" s="2">
        <v>-26.472999999999999</v>
      </c>
      <c r="F66" s="2">
        <v>-24.648</v>
      </c>
      <c r="G66" s="2">
        <v>-16.495999999999999</v>
      </c>
      <c r="H66" s="2">
        <v>-4.04</v>
      </c>
      <c r="I66" s="2">
        <v>-2.6909999999999998</v>
      </c>
      <c r="J66" s="2">
        <v>-2.4249999999999998</v>
      </c>
      <c r="K66" s="2">
        <v>-3.669</v>
      </c>
      <c r="L66" s="2">
        <v>-5.3330000000000002</v>
      </c>
      <c r="M66" s="2">
        <v>-10.52</v>
      </c>
      <c r="N66" s="2">
        <v>-13.055</v>
      </c>
      <c r="O66" s="2">
        <v>-6.1509999999999998</v>
      </c>
      <c r="P66" s="2">
        <v>9.3360000000000003</v>
      </c>
      <c r="Y66" s="2">
        <v>-70.582999999999998</v>
      </c>
      <c r="Z66" s="2">
        <v>-25.652000000000001</v>
      </c>
      <c r="AA66" s="2">
        <v>-32.576999999999998</v>
      </c>
    </row>
    <row r="67" spans="1:27" x14ac:dyDescent="0.25">
      <c r="B67" s="1" t="s">
        <v>41</v>
      </c>
      <c r="C67" s="2"/>
      <c r="D67" s="2"/>
      <c r="E67" s="2"/>
      <c r="F67" s="2"/>
      <c r="G67" s="2"/>
      <c r="H67" s="2"/>
      <c r="I67" s="2"/>
      <c r="J67" s="2"/>
      <c r="K67" s="2"/>
      <c r="L67" s="2"/>
      <c r="M67" s="2"/>
      <c r="N67" s="2"/>
      <c r="O67" s="2"/>
      <c r="P67" s="2"/>
      <c r="Y67" s="2">
        <v>-111.66800000000001</v>
      </c>
      <c r="Z67" s="2">
        <v>-19.45</v>
      </c>
      <c r="AA67" s="2">
        <v>-14.4</v>
      </c>
    </row>
    <row r="68" spans="1:27" x14ac:dyDescent="0.25">
      <c r="B68" s="1" t="s">
        <v>42</v>
      </c>
      <c r="C68" s="2"/>
      <c r="D68" s="2"/>
      <c r="E68" s="2"/>
      <c r="F68" s="2"/>
      <c r="G68" s="2"/>
      <c r="H68" s="2"/>
      <c r="I68" s="2"/>
      <c r="J68" s="2"/>
      <c r="K68" s="2"/>
      <c r="L68" s="2"/>
      <c r="M68" s="2"/>
      <c r="N68" s="2"/>
      <c r="O68" s="2"/>
      <c r="P68" s="2"/>
      <c r="Y68" s="2">
        <v>-21.003</v>
      </c>
      <c r="Z68" s="2">
        <v>-24.8</v>
      </c>
      <c r="AA68" s="2">
        <v>-248.89699999999999</v>
      </c>
    </row>
    <row r="69" spans="1:27" x14ac:dyDescent="0.25">
      <c r="B69" s="1" t="s">
        <v>43</v>
      </c>
      <c r="C69" s="2"/>
      <c r="D69" s="2"/>
      <c r="E69" s="2"/>
      <c r="F69" s="2"/>
      <c r="G69" s="2"/>
      <c r="H69" s="2"/>
      <c r="I69" s="2"/>
      <c r="J69" s="2"/>
      <c r="K69" s="2"/>
      <c r="L69" s="2"/>
      <c r="M69" s="2"/>
      <c r="N69" s="2"/>
      <c r="O69" s="2"/>
      <c r="P69" s="2"/>
      <c r="Y69" s="2">
        <v>76.936999999999998</v>
      </c>
      <c r="Z69" s="2">
        <v>73.95</v>
      </c>
      <c r="AA69" s="2">
        <v>116.53700000000001</v>
      </c>
    </row>
    <row r="70" spans="1:27" x14ac:dyDescent="0.25">
      <c r="B70" s="1" t="s">
        <v>44</v>
      </c>
      <c r="C70" s="2"/>
      <c r="D70" s="2"/>
      <c r="E70" s="2"/>
      <c r="F70" s="2"/>
      <c r="G70" s="2"/>
      <c r="H70" s="2"/>
      <c r="I70" s="2"/>
      <c r="J70" s="2"/>
      <c r="K70" s="2"/>
      <c r="L70" s="2"/>
      <c r="M70" s="2"/>
      <c r="N70" s="2"/>
      <c r="O70" s="2"/>
      <c r="P70" s="2"/>
      <c r="Y70" s="2">
        <v>186.262</v>
      </c>
      <c r="Z70" s="2">
        <v>0.629</v>
      </c>
      <c r="AA70" s="2">
        <v>63.893000000000001</v>
      </c>
    </row>
    <row r="71" spans="1:27" x14ac:dyDescent="0.25">
      <c r="B71" s="4" t="s">
        <v>45</v>
      </c>
      <c r="C71" s="5"/>
      <c r="D71" s="5"/>
      <c r="E71" s="5"/>
      <c r="F71" s="5"/>
      <c r="G71" s="5"/>
      <c r="H71" s="5"/>
      <c r="I71" s="5"/>
      <c r="J71" s="5"/>
      <c r="K71" s="5"/>
      <c r="L71" s="5"/>
      <c r="M71" s="5"/>
      <c r="N71" s="5"/>
      <c r="O71" s="5"/>
      <c r="P71" s="5"/>
      <c r="Q71" s="4"/>
      <c r="R71" s="4"/>
      <c r="S71" s="4"/>
      <c r="T71" s="4"/>
      <c r="U71" s="4"/>
      <c r="V71" s="4"/>
      <c r="W71" s="4"/>
      <c r="X71" s="4"/>
      <c r="Y71" s="5">
        <f>+SUM(Y64:Y70)</f>
        <v>36.51600000000002</v>
      </c>
      <c r="Z71" s="5">
        <f t="shared" ref="Z71:AA71" si="181">+SUM(Z64:Z70)</f>
        <v>-1.2580000000000005</v>
      </c>
      <c r="AA71" s="5">
        <f t="shared" si="181"/>
        <v>-963.74599999999987</v>
      </c>
    </row>
    <row r="72" spans="1:27" x14ac:dyDescent="0.25">
      <c r="C72" s="2"/>
      <c r="D72" s="2"/>
      <c r="E72" s="2"/>
      <c r="F72" s="2"/>
      <c r="G72" s="2"/>
      <c r="H72" s="2"/>
      <c r="I72" s="2"/>
      <c r="J72" s="2"/>
      <c r="K72" s="2"/>
      <c r="L72" s="2"/>
      <c r="M72" s="2"/>
      <c r="N72" s="2"/>
      <c r="O72" s="2"/>
      <c r="P72" s="2"/>
    </row>
    <row r="73" spans="1:27" x14ac:dyDescent="0.25">
      <c r="B73" s="1" t="s">
        <v>46</v>
      </c>
      <c r="C73" s="2"/>
      <c r="D73" s="2"/>
      <c r="E73" s="2"/>
      <c r="F73" s="2"/>
      <c r="G73" s="2"/>
      <c r="H73" s="2"/>
      <c r="I73" s="2"/>
      <c r="J73" s="2"/>
      <c r="K73" s="2"/>
      <c r="L73" s="2"/>
      <c r="M73" s="2"/>
      <c r="N73" s="2"/>
      <c r="O73" s="2"/>
      <c r="P73" s="2"/>
      <c r="Y73" s="2">
        <v>1000</v>
      </c>
      <c r="Z73" s="2"/>
      <c r="AA73" s="2"/>
    </row>
    <row r="74" spans="1:27" x14ac:dyDescent="0.25">
      <c r="B74" s="1" t="s">
        <v>47</v>
      </c>
      <c r="C74" s="2"/>
      <c r="D74" s="2"/>
      <c r="E74" s="2"/>
      <c r="F74" s="2"/>
      <c r="G74" s="2"/>
      <c r="H74" s="2"/>
      <c r="I74" s="2"/>
      <c r="J74" s="2"/>
      <c r="K74" s="2"/>
      <c r="L74" s="2"/>
      <c r="M74" s="2"/>
      <c r="N74" s="2"/>
      <c r="O74" s="2"/>
      <c r="P74" s="2"/>
      <c r="Y74" s="2"/>
      <c r="Z74" s="2"/>
      <c r="AA74" s="2">
        <v>-1000</v>
      </c>
    </row>
    <row r="75" spans="1:27" x14ac:dyDescent="0.25">
      <c r="B75" s="1" t="s">
        <v>48</v>
      </c>
      <c r="C75" s="2"/>
      <c r="D75" s="2"/>
      <c r="E75" s="2"/>
      <c r="F75" s="2"/>
      <c r="G75" s="2"/>
      <c r="H75" s="2"/>
      <c r="I75" s="2"/>
      <c r="J75" s="2"/>
      <c r="K75" s="2"/>
      <c r="L75" s="2"/>
      <c r="M75" s="2"/>
      <c r="N75" s="2"/>
      <c r="O75" s="2"/>
      <c r="P75" s="2"/>
      <c r="Y75" s="2"/>
      <c r="Z75" s="2"/>
      <c r="AA75" s="2">
        <v>987.03899999999999</v>
      </c>
    </row>
    <row r="76" spans="1:27" x14ac:dyDescent="0.25">
      <c r="B76" s="1" t="s">
        <v>49</v>
      </c>
      <c r="C76" s="2"/>
      <c r="D76" s="2"/>
      <c r="E76" s="2"/>
      <c r="F76" s="2"/>
      <c r="G76" s="2"/>
      <c r="H76" s="2"/>
      <c r="I76" s="2"/>
      <c r="J76" s="2"/>
      <c r="K76" s="2"/>
      <c r="L76" s="2"/>
      <c r="M76" s="2"/>
      <c r="N76" s="2"/>
      <c r="O76" s="2"/>
      <c r="P76" s="2"/>
      <c r="Y76" s="2">
        <v>-1548.6859999999999</v>
      </c>
      <c r="Z76" s="2"/>
      <c r="AA76" s="2"/>
    </row>
    <row r="77" spans="1:27" x14ac:dyDescent="0.25">
      <c r="B77" s="1" t="s">
        <v>50</v>
      </c>
      <c r="C77" s="2"/>
      <c r="D77" s="2"/>
      <c r="E77" s="2"/>
      <c r="F77" s="2"/>
      <c r="G77" s="2"/>
      <c r="H77" s="2"/>
      <c r="I77" s="2"/>
      <c r="J77" s="2"/>
      <c r="K77" s="2"/>
      <c r="L77" s="2"/>
      <c r="M77" s="2"/>
      <c r="N77" s="2"/>
      <c r="O77" s="2"/>
      <c r="P77" s="2"/>
      <c r="Y77" s="2">
        <v>135.49700000000001</v>
      </c>
      <c r="Z77" s="2"/>
      <c r="AA77" s="2"/>
    </row>
    <row r="78" spans="1:27" x14ac:dyDescent="0.25">
      <c r="B78" s="1" t="s">
        <v>51</v>
      </c>
      <c r="C78" s="2"/>
      <c r="D78" s="2"/>
      <c r="E78" s="2"/>
      <c r="F78" s="2"/>
      <c r="G78" s="2"/>
      <c r="H78" s="2"/>
      <c r="I78" s="2"/>
      <c r="J78" s="2"/>
      <c r="K78" s="2"/>
      <c r="L78" s="2"/>
      <c r="M78" s="2"/>
      <c r="N78" s="2"/>
      <c r="O78" s="2"/>
      <c r="P78" s="2"/>
      <c r="Y78" s="2"/>
      <c r="Z78" s="2">
        <v>-150.006</v>
      </c>
      <c r="AA78" s="2">
        <v>-395.25599999999997</v>
      </c>
    </row>
    <row r="79" spans="1:27" x14ac:dyDescent="0.25">
      <c r="B79" s="1" t="s">
        <v>52</v>
      </c>
      <c r="C79" s="2"/>
      <c r="D79" s="2"/>
      <c r="E79" s="2"/>
      <c r="F79" s="2"/>
      <c r="G79" s="2"/>
      <c r="H79" s="2"/>
      <c r="I79" s="2"/>
      <c r="J79" s="2"/>
      <c r="K79" s="2"/>
      <c r="L79" s="2"/>
      <c r="M79" s="2"/>
      <c r="N79" s="2"/>
      <c r="O79" s="2"/>
      <c r="P79" s="2"/>
      <c r="Y79" s="2">
        <v>13.909000000000001</v>
      </c>
      <c r="Z79" s="2">
        <v>1.585</v>
      </c>
      <c r="AA79" s="2"/>
    </row>
    <row r="80" spans="1:27" s="4" customFormat="1" x14ac:dyDescent="0.25">
      <c r="A80" s="1"/>
      <c r="B80" s="4" t="s">
        <v>53</v>
      </c>
      <c r="C80" s="5"/>
      <c r="D80" s="5"/>
      <c r="E80" s="5"/>
      <c r="F80" s="5"/>
      <c r="G80" s="5"/>
      <c r="H80" s="5"/>
      <c r="I80" s="5"/>
      <c r="J80" s="5"/>
      <c r="K80" s="5"/>
      <c r="L80" s="5"/>
      <c r="M80" s="5"/>
      <c r="N80" s="5"/>
      <c r="O80" s="5"/>
      <c r="P80" s="5"/>
      <c r="Y80" s="5">
        <f>+SUM(Y73:Y79)</f>
        <v>-399.27999999999992</v>
      </c>
      <c r="Z80" s="5">
        <f t="shared" ref="Z80:AA80" si="182">+SUM(Z73:Z79)</f>
        <v>-148.42099999999999</v>
      </c>
      <c r="AA80" s="5">
        <f t="shared" si="182"/>
        <v>-408.21699999999998</v>
      </c>
    </row>
    <row r="81" spans="2:35" x14ac:dyDescent="0.25">
      <c r="B81" s="1" t="s">
        <v>33</v>
      </c>
      <c r="C81" s="2"/>
      <c r="D81" s="2"/>
      <c r="E81" s="2"/>
      <c r="F81" s="2"/>
      <c r="G81" s="2"/>
      <c r="H81" s="2"/>
      <c r="I81" s="2"/>
      <c r="J81" s="2"/>
      <c r="K81" s="2"/>
      <c r="L81" s="2"/>
      <c r="M81" s="2"/>
      <c r="N81" s="2"/>
      <c r="O81" s="2"/>
      <c r="P81" s="2"/>
      <c r="Y81" s="2">
        <v>-9.2330000000000005</v>
      </c>
      <c r="Z81" s="2">
        <v>-1.8049999999999999</v>
      </c>
      <c r="AA81" s="2">
        <v>-1.9890000000000001</v>
      </c>
    </row>
    <row r="82" spans="2:35" x14ac:dyDescent="0.25">
      <c r="B82" s="1" t="s">
        <v>54</v>
      </c>
      <c r="C82" s="2"/>
      <c r="D82" s="2"/>
      <c r="E82" s="2"/>
      <c r="F82" s="2"/>
      <c r="G82" s="2"/>
      <c r="H82" s="2"/>
      <c r="I82" s="2"/>
      <c r="J82" s="2"/>
      <c r="K82" s="2"/>
      <c r="L82" s="2"/>
      <c r="M82" s="2"/>
      <c r="N82" s="2"/>
      <c r="O82" s="2"/>
      <c r="P82" s="2"/>
      <c r="Y82" s="2">
        <f>+Y62+Y71+Y80+Y81</f>
        <v>449.04700000000048</v>
      </c>
      <c r="Z82" s="2">
        <f t="shared" ref="Z82:AA82" si="183">+Z62+Z71+Z80+Z81</f>
        <v>716.62699999999984</v>
      </c>
      <c r="AA82" s="2">
        <f t="shared" si="183"/>
        <v>74.207000000000704</v>
      </c>
    </row>
    <row r="83" spans="2:35" x14ac:dyDescent="0.25">
      <c r="C83" s="2"/>
      <c r="D83" s="2"/>
      <c r="E83" s="2"/>
      <c r="F83" s="2"/>
      <c r="G83" s="2"/>
      <c r="H83" s="2"/>
      <c r="I83" s="2"/>
      <c r="J83" s="2"/>
      <c r="K83" s="2"/>
      <c r="L83" s="2"/>
      <c r="M83" s="2"/>
      <c r="N83" s="2"/>
      <c r="O83" s="2"/>
      <c r="P83" s="2"/>
    </row>
    <row r="84" spans="2:35" x14ac:dyDescent="0.25">
      <c r="B84" s="1" t="s">
        <v>55</v>
      </c>
      <c r="C84" s="2">
        <f t="shared" ref="C84:N84" si="184">+C62+C66</f>
        <v>71.504999999999995</v>
      </c>
      <c r="D84" s="2">
        <f t="shared" si="184"/>
        <v>209.10300000000001</v>
      </c>
      <c r="E84" s="2">
        <f t="shared" si="184"/>
        <v>326.55599999999998</v>
      </c>
      <c r="F84" s="2">
        <f t="shared" si="184"/>
        <v>205.749</v>
      </c>
      <c r="G84" s="2">
        <f t="shared" si="184"/>
        <v>75.945999999999998</v>
      </c>
      <c r="H84" s="2">
        <f t="shared" si="184"/>
        <v>146.48500000000001</v>
      </c>
      <c r="I84" s="2">
        <f t="shared" si="184"/>
        <v>349.67800000000005</v>
      </c>
      <c r="J84" s="2">
        <f t="shared" si="184"/>
        <v>270.34999999999997</v>
      </c>
      <c r="K84" s="2">
        <f t="shared" si="184"/>
        <v>163.28699999999998</v>
      </c>
      <c r="L84" s="2">
        <f t="shared" si="184"/>
        <v>284.26099999999997</v>
      </c>
      <c r="M84" s="2">
        <f t="shared" si="184"/>
        <v>554.87</v>
      </c>
      <c r="N84" s="2">
        <f t="shared" si="184"/>
        <v>413.16399999999999</v>
      </c>
      <c r="O84" s="2">
        <f t="shared" ref="O84:P84" si="185">+O62+O66</f>
        <v>74.341000000000008</v>
      </c>
      <c r="P84" s="2">
        <f t="shared" si="185"/>
        <v>361.24099999999999</v>
      </c>
      <c r="Y84" s="2">
        <f t="shared" ref="Y84:Z84" si="186">+Y62+Y66</f>
        <v>750.46100000000035</v>
      </c>
      <c r="Z84" s="2">
        <f t="shared" si="186"/>
        <v>842.45899999999983</v>
      </c>
      <c r="AA84" s="2">
        <f>+AA62+AA66</f>
        <v>1415.5820000000006</v>
      </c>
    </row>
    <row r="85" spans="2:35" x14ac:dyDescent="0.25">
      <c r="B85" s="1" t="s">
        <v>84</v>
      </c>
      <c r="C85" s="2"/>
      <c r="D85" s="2"/>
      <c r="E85" s="2"/>
      <c r="F85" s="2">
        <f t="shared" ref="F85" si="187">+SUM(C84:F84)</f>
        <v>812.91300000000001</v>
      </c>
      <c r="G85" s="2">
        <f t="shared" ref="G85" si="188">+SUM(D84:G84)</f>
        <v>817.35400000000004</v>
      </c>
      <c r="H85" s="2">
        <f t="shared" ref="H85" si="189">+SUM(E84:H84)</f>
        <v>754.73599999999999</v>
      </c>
      <c r="I85" s="2">
        <f t="shared" ref="I85" si="190">+SUM(F84:I84)</f>
        <v>777.85800000000006</v>
      </c>
      <c r="J85" s="2">
        <f t="shared" ref="J85:M85" si="191">+SUM(G84:J84)</f>
        <v>842.45900000000006</v>
      </c>
      <c r="K85" s="2">
        <f t="shared" si="191"/>
        <v>929.8</v>
      </c>
      <c r="L85" s="2">
        <f t="shared" si="191"/>
        <v>1067.576</v>
      </c>
      <c r="M85" s="2">
        <f t="shared" si="191"/>
        <v>1272.768</v>
      </c>
      <c r="N85" s="2">
        <f>+SUM(K84:N84)</f>
        <v>1415.5819999999999</v>
      </c>
      <c r="O85" s="2">
        <f t="shared" ref="O85" si="192">+SUM(L84:O84)</f>
        <v>1326.636</v>
      </c>
      <c r="P85" s="2">
        <f t="shared" ref="P85" si="193">+SUM(M84:P84)</f>
        <v>1403.616</v>
      </c>
      <c r="Y85" s="2"/>
      <c r="Z85" s="2"/>
      <c r="AA85" s="2"/>
    </row>
    <row r="86" spans="2:35" x14ac:dyDescent="0.25">
      <c r="B86" s="1" t="s">
        <v>56</v>
      </c>
      <c r="Y86" s="7">
        <f t="shared" ref="Y86:Z86" si="194">+Y51/Y19</f>
        <v>0.18723692256755722</v>
      </c>
      <c r="Z86" s="7">
        <f t="shared" si="194"/>
        <v>0.26822678473974915</v>
      </c>
      <c r="AA86" s="7">
        <f>+AA51/AA19</f>
        <v>0.24811459084481885</v>
      </c>
    </row>
    <row r="88" spans="2:35" x14ac:dyDescent="0.25">
      <c r="B88" s="1" t="s">
        <v>85</v>
      </c>
      <c r="P88" s="2">
        <f>+main!M6-main!M7</f>
        <v>1704.7469999999998</v>
      </c>
      <c r="Y88" s="2"/>
      <c r="Z88" s="2">
        <f>2102.55+10+225.538-37.5-962.093</f>
        <v>1338.4950000000003</v>
      </c>
      <c r="AA88" s="2">
        <f>2176.93+161.973+223.221-985.911</f>
        <v>1576.2129999999997</v>
      </c>
      <c r="AB88" s="2">
        <f>+AA88+AB31</f>
        <v>1767.8608278089998</v>
      </c>
      <c r="AC88" s="2">
        <f t="shared" ref="AC88:AI88" si="195">+AB88+AC31</f>
        <v>2662.8223902626328</v>
      </c>
      <c r="AD88" s="2">
        <f t="shared" si="195"/>
        <v>3941.0757781006323</v>
      </c>
      <c r="AE88" s="2">
        <f t="shared" si="195"/>
        <v>5821.478099525053</v>
      </c>
      <c r="AF88" s="2">
        <f t="shared" si="195"/>
        <v>8732.1940926076786</v>
      </c>
      <c r="AG88" s="2">
        <f t="shared" si="195"/>
        <v>12609.032731456111</v>
      </c>
      <c r="AH88" s="2">
        <f t="shared" si="195"/>
        <v>17524.276555936944</v>
      </c>
      <c r="AI88" s="2">
        <f t="shared" si="195"/>
        <v>23720.518160110125</v>
      </c>
    </row>
    <row r="90" spans="2:35" x14ac:dyDescent="0.25">
      <c r="B90" s="1" t="s">
        <v>133</v>
      </c>
      <c r="Y90" s="1">
        <v>232</v>
      </c>
      <c r="Z90" s="1">
        <v>353</v>
      </c>
      <c r="AA90" s="1">
        <v>524</v>
      </c>
    </row>
    <row r="91" spans="2:35" x14ac:dyDescent="0.25">
      <c r="B91" s="1" t="s">
        <v>135</v>
      </c>
      <c r="Z91" s="7">
        <f>+Z90/Y90-1</f>
        <v>0.52155172413793105</v>
      </c>
      <c r="AA91" s="7">
        <f t="shared" ref="AA91" si="196">+AA90/Z90-1</f>
        <v>0.48441926345609065</v>
      </c>
    </row>
  </sheetData>
  <hyperlinks>
    <hyperlink ref="A1" location="main!A1" display="main" xr:uid="{E892C8F9-48DD-4E34-A263-DE927B2E97D7}"/>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EF218-23FE-4ACE-976C-C723C3C1AD6C}">
  <sheetPr filterMode="1"/>
  <dimension ref="B2:F10"/>
  <sheetViews>
    <sheetView workbookViewId="0">
      <selection activeCell="G18" sqref="G18"/>
    </sheetView>
  </sheetViews>
  <sheetFormatPr defaultColWidth="9.109375" defaultRowHeight="13.2" x14ac:dyDescent="0.25"/>
  <cols>
    <col min="1" max="1" width="9.109375" style="1"/>
    <col min="2" max="2" width="19.5546875" style="1" bestFit="1" customWidth="1"/>
    <col min="3" max="4" width="9.109375" style="1"/>
    <col min="5" max="5" width="32.44140625" style="1" bestFit="1" customWidth="1"/>
    <col min="6" max="16384" width="9.109375" style="1"/>
  </cols>
  <sheetData>
    <row r="2" spans="2:6" x14ac:dyDescent="0.25">
      <c r="C2" s="1" t="s">
        <v>138</v>
      </c>
      <c r="D2" s="1" t="s">
        <v>142</v>
      </c>
      <c r="E2" s="1" t="s">
        <v>139</v>
      </c>
      <c r="F2" s="1" t="s">
        <v>151</v>
      </c>
    </row>
    <row r="3" spans="2:6" x14ac:dyDescent="0.25">
      <c r="B3" s="1" t="s">
        <v>124</v>
      </c>
      <c r="C3" s="1">
        <v>44</v>
      </c>
      <c r="D3" s="1">
        <v>2002</v>
      </c>
      <c r="E3" s="1" t="s">
        <v>140</v>
      </c>
      <c r="F3" s="1" t="s">
        <v>152</v>
      </c>
    </row>
    <row r="4" spans="2:6" hidden="1" x14ac:dyDescent="0.25">
      <c r="B4" s="1" t="s">
        <v>136</v>
      </c>
      <c r="D4" s="1">
        <v>2002</v>
      </c>
      <c r="E4" s="1" t="s">
        <v>140</v>
      </c>
      <c r="F4" s="1" t="s">
        <v>153</v>
      </c>
    </row>
    <row r="5" spans="2:6" x14ac:dyDescent="0.25">
      <c r="B5" s="1" t="s">
        <v>137</v>
      </c>
      <c r="C5" s="1">
        <v>56</v>
      </c>
      <c r="D5" s="1">
        <v>2022</v>
      </c>
      <c r="E5" s="1" t="s">
        <v>141</v>
      </c>
      <c r="F5" s="1" t="s">
        <v>152</v>
      </c>
    </row>
    <row r="6" spans="2:6" x14ac:dyDescent="0.25">
      <c r="B6" s="1" t="s">
        <v>144</v>
      </c>
      <c r="C6" s="1">
        <v>54</v>
      </c>
      <c r="D6" s="1">
        <v>2016</v>
      </c>
      <c r="E6" s="1" t="s">
        <v>149</v>
      </c>
      <c r="F6" s="1" t="s">
        <v>152</v>
      </c>
    </row>
    <row r="7" spans="2:6" x14ac:dyDescent="0.25">
      <c r="B7" s="1" t="s">
        <v>145</v>
      </c>
      <c r="C7" s="1">
        <v>41</v>
      </c>
      <c r="D7" s="1">
        <v>2014</v>
      </c>
      <c r="E7" s="1" t="s">
        <v>150</v>
      </c>
      <c r="F7" s="1" t="s">
        <v>152</v>
      </c>
    </row>
    <row r="8" spans="2:6" x14ac:dyDescent="0.25">
      <c r="B8" s="1" t="s">
        <v>146</v>
      </c>
      <c r="C8" s="1">
        <v>35</v>
      </c>
      <c r="D8" s="1">
        <v>2016</v>
      </c>
      <c r="E8" s="1" t="s">
        <v>155</v>
      </c>
      <c r="F8" s="1" t="s">
        <v>152</v>
      </c>
    </row>
    <row r="9" spans="2:6" x14ac:dyDescent="0.25">
      <c r="B9" s="1" t="s">
        <v>147</v>
      </c>
      <c r="C9" s="1">
        <v>51</v>
      </c>
      <c r="D9" s="1">
        <v>2022</v>
      </c>
      <c r="E9" s="1" t="s">
        <v>156</v>
      </c>
      <c r="F9" s="1" t="s">
        <v>152</v>
      </c>
    </row>
    <row r="10" spans="2:6" x14ac:dyDescent="0.25">
      <c r="B10" s="1" t="s">
        <v>148</v>
      </c>
      <c r="D10" s="1">
        <v>2023</v>
      </c>
      <c r="E10" s="1" t="s">
        <v>154</v>
      </c>
      <c r="F10" s="1" t="s">
        <v>152</v>
      </c>
    </row>
  </sheetData>
  <autoFilter ref="B2:F10" xr:uid="{FA5EF218-23FE-4ACE-976C-C723C3C1AD6C}">
    <filterColumn colId="4">
      <filters>
        <filter val="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Executive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2024-10-04T20:56:13Z</dcterms:created>
  <dcterms:modified xsi:type="dcterms:W3CDTF">2025-04-11T15:36:27Z</dcterms:modified>
</cp:coreProperties>
</file>