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exa\OneDrive - ISEG\Desktop\Models\"/>
    </mc:Choice>
  </mc:AlternateContent>
  <xr:revisionPtr revIDLastSave="0" documentId="13_ncr:1_{8013B549-6FE3-405C-AFEF-2B7CD87730B5}" xr6:coauthVersionLast="47" xr6:coauthVersionMax="47" xr10:uidLastSave="{00000000-0000-0000-0000-000000000000}"/>
  <bookViews>
    <workbookView xWindow="11424" yWindow="0" windowWidth="11712" windowHeight="12336" activeTab="1" xr2:uid="{DEE06EE3-0A6F-45E0-B0AD-21904B442037}"/>
  </bookViews>
  <sheets>
    <sheet name="main" sheetId="1" r:id="rId1"/>
    <sheet name="model" sheetId="2" r:id="rId2"/>
    <sheet name="users" sheetId="3" r:id="rId3"/>
    <sheet name="tesl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2" l="1"/>
  <c r="N31" i="2" s="1"/>
  <c r="N4" i="2"/>
  <c r="N30" i="2" s="1"/>
  <c r="N3" i="2"/>
  <c r="N29" i="2" s="1"/>
  <c r="I44" i="2"/>
  <c r="T12" i="2"/>
  <c r="S12" i="2"/>
  <c r="R12" i="2"/>
  <c r="Q12" i="2"/>
  <c r="T11" i="2"/>
  <c r="S11" i="2"/>
  <c r="R11" i="2"/>
  <c r="Q11" i="2"/>
  <c r="R35" i="2"/>
  <c r="S35" i="2" s="1"/>
  <c r="T35" i="2" s="1"/>
  <c r="P35" i="2"/>
  <c r="O39" i="2"/>
  <c r="P39" i="2" s="1"/>
  <c r="Q39" i="2" s="1"/>
  <c r="R39" i="2" s="1"/>
  <c r="S39" i="2" s="1"/>
  <c r="T39" i="2" s="1"/>
  <c r="N39" i="2"/>
  <c r="O35" i="2"/>
  <c r="O25" i="2"/>
  <c r="P25" i="2" s="1"/>
  <c r="Q25" i="2" s="1"/>
  <c r="R25" i="2" s="1"/>
  <c r="S25" i="2" s="1"/>
  <c r="T25" i="2" s="1"/>
  <c r="N25" i="2"/>
  <c r="N21" i="2"/>
  <c r="N18" i="2"/>
  <c r="N17" i="2"/>
  <c r="I30" i="2"/>
  <c r="I31" i="2"/>
  <c r="I29" i="2"/>
  <c r="I8" i="2"/>
  <c r="N8" i="2" s="1"/>
  <c r="C18" i="3"/>
  <c r="G18" i="3"/>
  <c r="G2" i="3"/>
  <c r="G16" i="3"/>
  <c r="G15" i="3"/>
  <c r="G14" i="3"/>
  <c r="G13" i="3"/>
  <c r="G12" i="3"/>
  <c r="G11" i="3"/>
  <c r="G10" i="3"/>
  <c r="G9" i="3"/>
  <c r="G8" i="3"/>
  <c r="G7" i="3"/>
  <c r="G6" i="3"/>
  <c r="G5" i="3"/>
  <c r="G4" i="3"/>
  <c r="G3" i="3"/>
  <c r="E2" i="3"/>
  <c r="E16" i="3"/>
  <c r="E15" i="3"/>
  <c r="E14" i="3"/>
  <c r="E13" i="3"/>
  <c r="E12" i="3"/>
  <c r="E11" i="3"/>
  <c r="E10" i="3"/>
  <c r="E9" i="3"/>
  <c r="E8" i="3"/>
  <c r="E7" i="3"/>
  <c r="E6" i="3"/>
  <c r="E5" i="3"/>
  <c r="E4" i="3"/>
  <c r="E3" i="3"/>
  <c r="L3" i="1" a="1"/>
  <c r="L3" i="1" s="1"/>
  <c r="I49" i="2" l="1"/>
  <c r="N12" i="2"/>
  <c r="N10" i="2"/>
  <c r="O10" i="2" s="1"/>
  <c r="P10" i="2" s="1"/>
  <c r="Q10" i="2" s="1"/>
  <c r="R10" i="2" s="1"/>
  <c r="S10" i="2" s="1"/>
  <c r="T10" i="2" s="1"/>
  <c r="I39" i="2"/>
  <c r="N11" i="2"/>
  <c r="I50" i="2"/>
  <c r="I28" i="2"/>
  <c r="F44" i="2"/>
  <c r="E44" i="2"/>
  <c r="D44" i="2"/>
  <c r="C44" i="2"/>
  <c r="B44" i="2"/>
  <c r="H44" i="2"/>
  <c r="L5" i="1"/>
  <c r="L8" i="1" s="1"/>
  <c r="L48" i="2"/>
  <c r="N35" i="2"/>
  <c r="Q35" i="2" s="1"/>
  <c r="H15" i="2"/>
  <c r="G15" i="2"/>
  <c r="H54" i="2"/>
  <c r="G43" i="2"/>
  <c r="H31" i="2"/>
  <c r="G31" i="2"/>
  <c r="H30" i="2"/>
  <c r="G30" i="2"/>
  <c r="H29" i="2"/>
  <c r="G29" i="2"/>
  <c r="G42" i="2"/>
  <c r="G41" i="2"/>
  <c r="G44" i="2" s="1"/>
  <c r="H8" i="2"/>
  <c r="H39" i="2" s="1"/>
  <c r="G8" i="2"/>
  <c r="G39" i="2" s="1"/>
  <c r="O23" i="2"/>
  <c r="P23" i="2" s="1"/>
  <c r="Q23" i="2" s="1"/>
  <c r="R23" i="2" s="1"/>
  <c r="S23" i="2" s="1"/>
  <c r="T23" i="2" s="1"/>
  <c r="O17" i="2"/>
  <c r="P17" i="2" s="1"/>
  <c r="Q17" i="2" s="1"/>
  <c r="R17" i="2" s="1"/>
  <c r="S17" i="2" s="1"/>
  <c r="T17" i="2" s="1"/>
  <c r="N14" i="2"/>
  <c r="O14" i="2" s="1"/>
  <c r="P14" i="2" s="1"/>
  <c r="Q14" i="2" s="1"/>
  <c r="R14" i="2" s="1"/>
  <c r="S14" i="2" s="1"/>
  <c r="T14" i="2" s="1"/>
  <c r="F13" i="2"/>
  <c r="F15" i="2" s="1"/>
  <c r="E46" i="2"/>
  <c r="F31" i="2"/>
  <c r="F30" i="2"/>
  <c r="F29" i="2"/>
  <c r="E15" i="2"/>
  <c r="D15" i="2"/>
  <c r="C15" i="2"/>
  <c r="B15" i="2"/>
  <c r="F8" i="2"/>
  <c r="F49" i="2" s="1"/>
  <c r="E8" i="2"/>
  <c r="E39" i="2" s="1"/>
  <c r="D8" i="2"/>
  <c r="D39" i="2" s="1"/>
  <c r="C8" i="2"/>
  <c r="C39" i="2" s="1"/>
  <c r="B8" i="2"/>
  <c r="B51" i="2" s="1"/>
  <c r="M8" i="2"/>
  <c r="M39" i="2" s="1"/>
  <c r="N2" i="2"/>
  <c r="O2" i="2" s="1"/>
  <c r="P2" i="2" s="1"/>
  <c r="Q2" i="2" s="1"/>
  <c r="R2" i="2" s="1"/>
  <c r="S2" i="2" s="1"/>
  <c r="T2" i="2" s="1"/>
  <c r="C21" i="1"/>
  <c r="D17" i="1" s="1"/>
  <c r="M31" i="2"/>
  <c r="L31" i="2"/>
  <c r="M30" i="2"/>
  <c r="L30" i="2"/>
  <c r="M29" i="2"/>
  <c r="L29" i="2"/>
  <c r="L8" i="2"/>
  <c r="L39" i="2" s="1"/>
  <c r="K8" i="2"/>
  <c r="K49" i="2" s="1"/>
  <c r="M43" i="2"/>
  <c r="L43" i="2"/>
  <c r="K43" i="2"/>
  <c r="M15" i="2"/>
  <c r="L15" i="2"/>
  <c r="K15" i="2"/>
  <c r="L6" i="1"/>
  <c r="I48" i="2" l="1"/>
  <c r="I15" i="2"/>
  <c r="I16" i="2" s="1"/>
  <c r="N9" i="2"/>
  <c r="I51" i="2"/>
  <c r="N13" i="2"/>
  <c r="O13" i="2" s="1"/>
  <c r="P13" i="2" s="1"/>
  <c r="Q13" i="2" s="1"/>
  <c r="R13" i="2" s="1"/>
  <c r="S13" i="2" s="1"/>
  <c r="T13" i="2" s="1"/>
  <c r="H45" i="2"/>
  <c r="L10" i="1" s="1"/>
  <c r="M48" i="2"/>
  <c r="B49" i="2"/>
  <c r="B50" i="2"/>
  <c r="M49" i="2"/>
  <c r="B48" i="2"/>
  <c r="C48" i="2"/>
  <c r="D48" i="2"/>
  <c r="E48" i="2"/>
  <c r="F48" i="2"/>
  <c r="G48" i="2"/>
  <c r="H48" i="2"/>
  <c r="F16" i="2"/>
  <c r="F33" i="2" s="1"/>
  <c r="K48" i="2"/>
  <c r="P40" i="2"/>
  <c r="O40" i="2"/>
  <c r="D19" i="1"/>
  <c r="D18" i="1"/>
  <c r="D20" i="1"/>
  <c r="N48" i="2"/>
  <c r="C49" i="2"/>
  <c r="D50" i="2"/>
  <c r="E51" i="2"/>
  <c r="L50" i="2"/>
  <c r="D49" i="2"/>
  <c r="E50" i="2"/>
  <c r="F51" i="2"/>
  <c r="M50" i="2"/>
  <c r="K50" i="2"/>
  <c r="E49" i="2"/>
  <c r="F50" i="2"/>
  <c r="G51" i="2"/>
  <c r="K51" i="2"/>
  <c r="D51" i="2"/>
  <c r="G50" i="2"/>
  <c r="H51" i="2"/>
  <c r="L51" i="2"/>
  <c r="G49" i="2"/>
  <c r="H50" i="2"/>
  <c r="M51" i="2"/>
  <c r="C51" i="2"/>
  <c r="C50" i="2"/>
  <c r="H49" i="2"/>
  <c r="L49" i="2"/>
  <c r="F28" i="2"/>
  <c r="B16" i="2"/>
  <c r="G16" i="2"/>
  <c r="G19" i="2" s="1"/>
  <c r="G22" i="2" s="1"/>
  <c r="G24" i="2" s="1"/>
  <c r="G26" i="2" s="1"/>
  <c r="B39" i="2"/>
  <c r="H16" i="2"/>
  <c r="H28" i="2"/>
  <c r="G28" i="2"/>
  <c r="F39" i="2"/>
  <c r="C16" i="2"/>
  <c r="D16" i="2"/>
  <c r="E16" i="2"/>
  <c r="M28" i="2"/>
  <c r="M16" i="2"/>
  <c r="M19" i="2" s="1"/>
  <c r="M22" i="2" s="1"/>
  <c r="M24" i="2" s="1"/>
  <c r="M26" i="2" s="1"/>
  <c r="L16" i="2"/>
  <c r="L19" i="2" s="1"/>
  <c r="L22" i="2" s="1"/>
  <c r="L24" i="2" s="1"/>
  <c r="L26" i="2" s="1"/>
  <c r="L28" i="2"/>
  <c r="K16" i="2"/>
  <c r="K33" i="2" s="1"/>
  <c r="I19" i="2" l="1"/>
  <c r="I33" i="2"/>
  <c r="F19" i="2"/>
  <c r="F22" i="2" s="1"/>
  <c r="F24" i="2" s="1"/>
  <c r="F26" i="2" s="1"/>
  <c r="G33" i="2"/>
  <c r="Q40" i="2"/>
  <c r="O8" i="2"/>
  <c r="N50" i="2"/>
  <c r="N51" i="2"/>
  <c r="B33" i="2"/>
  <c r="B19" i="2"/>
  <c r="B22" i="2" s="1"/>
  <c r="B24" i="2" s="1"/>
  <c r="B26" i="2" s="1"/>
  <c r="H33" i="2"/>
  <c r="H19" i="2"/>
  <c r="H22" i="2" s="1"/>
  <c r="H24" i="2" s="1"/>
  <c r="H26" i="2" s="1"/>
  <c r="N28" i="2"/>
  <c r="C33" i="2"/>
  <c r="C19" i="2"/>
  <c r="C22" i="2" s="1"/>
  <c r="C24" i="2" s="1"/>
  <c r="C26" i="2" s="1"/>
  <c r="D33" i="2"/>
  <c r="D19" i="2"/>
  <c r="D22" i="2" s="1"/>
  <c r="E33" i="2"/>
  <c r="E19" i="2"/>
  <c r="E22" i="2" s="1"/>
  <c r="E24" i="2" s="1"/>
  <c r="E26" i="2" s="1"/>
  <c r="K19" i="2"/>
  <c r="K22" i="2" s="1"/>
  <c r="K24" i="2" s="1"/>
  <c r="K26" i="2" s="1"/>
  <c r="L33" i="2"/>
  <c r="M33" i="2"/>
  <c r="I22" i="2" l="1"/>
  <c r="I24" i="2" s="1"/>
  <c r="I26" i="2" s="1"/>
  <c r="O9" i="2"/>
  <c r="O48" i="2" s="1"/>
  <c r="R40" i="2"/>
  <c r="N49" i="2"/>
  <c r="N15" i="2"/>
  <c r="N16" i="2" s="1"/>
  <c r="O12" i="2"/>
  <c r="O50" i="2" s="1"/>
  <c r="O11" i="2"/>
  <c r="O51" i="2"/>
  <c r="P8" i="2"/>
  <c r="O28" i="2"/>
  <c r="D24" i="2"/>
  <c r="D26" i="2" s="1"/>
  <c r="P9" i="2" l="1"/>
  <c r="P48" i="2" s="1"/>
  <c r="T40" i="2"/>
  <c r="S40" i="2"/>
  <c r="Q8" i="2"/>
  <c r="N19" i="2"/>
  <c r="N20" i="2" s="1"/>
  <c r="N22" i="2" s="1"/>
  <c r="N33" i="2"/>
  <c r="P12" i="2"/>
  <c r="P50" i="2" s="1"/>
  <c r="P11" i="2"/>
  <c r="P51" i="2"/>
  <c r="O15" i="2"/>
  <c r="O16" i="2" s="1"/>
  <c r="O33" i="2" s="1"/>
  <c r="O49" i="2"/>
  <c r="P28" i="2"/>
  <c r="Q9" i="2" l="1"/>
  <c r="Q48" i="2" s="1"/>
  <c r="N24" i="2"/>
  <c r="N26" i="2" s="1"/>
  <c r="N46" i="2"/>
  <c r="Q50" i="2"/>
  <c r="Q51" i="2"/>
  <c r="P15" i="2"/>
  <c r="P16" i="2" s="1"/>
  <c r="P49" i="2"/>
  <c r="R8" i="2"/>
  <c r="Q28" i="2"/>
  <c r="R9" i="2" l="1"/>
  <c r="R48" i="2" s="1"/>
  <c r="O18" i="2"/>
  <c r="O19" i="2" s="1"/>
  <c r="O20" i="2" s="1"/>
  <c r="O22" i="2" s="1"/>
  <c r="Q49" i="2"/>
  <c r="Q15" i="2"/>
  <c r="Q16" i="2" s="1"/>
  <c r="T8" i="2"/>
  <c r="S8" i="2"/>
  <c r="P33" i="2"/>
  <c r="R50" i="2"/>
  <c r="R51" i="2"/>
  <c r="R28" i="2"/>
  <c r="S9" i="2" l="1"/>
  <c r="S48" i="2" s="1"/>
  <c r="T9" i="2"/>
  <c r="T48" i="2" s="1"/>
  <c r="O24" i="2"/>
  <c r="O26" i="2" s="1"/>
  <c r="O46" i="2"/>
  <c r="S50" i="2"/>
  <c r="S51" i="2"/>
  <c r="Q33" i="2"/>
  <c r="R15" i="2"/>
  <c r="R16" i="2" s="1"/>
  <c r="R49" i="2"/>
  <c r="T50" i="2"/>
  <c r="T51" i="2"/>
  <c r="S28" i="2"/>
  <c r="P18" i="2" l="1"/>
  <c r="P19" i="2" s="1"/>
  <c r="P20" i="2" s="1"/>
  <c r="P22" i="2" s="1"/>
  <c r="R33" i="2"/>
  <c r="T49" i="2"/>
  <c r="T15" i="2"/>
  <c r="T16" i="2" s="1"/>
  <c r="S15" i="2"/>
  <c r="S16" i="2" s="1"/>
  <c r="S33" i="2" s="1"/>
  <c r="S49" i="2"/>
  <c r="T28" i="2"/>
  <c r="P24" i="2" l="1"/>
  <c r="P26" i="2" s="1"/>
  <c r="P46" i="2"/>
  <c r="T33" i="2"/>
  <c r="Q18" i="2" l="1"/>
  <c r="Q19" i="2" s="1"/>
  <c r="Q20" i="2" s="1"/>
  <c r="Q22" i="2" s="1"/>
  <c r="Q24" i="2" l="1"/>
  <c r="Q26" i="2" s="1"/>
  <c r="Q46" i="2"/>
  <c r="R18" i="2" l="1"/>
  <c r="R19" i="2" s="1"/>
  <c r="R20" i="2" s="1"/>
  <c r="R22" i="2" s="1"/>
  <c r="R24" i="2" l="1"/>
  <c r="R26" i="2" s="1"/>
  <c r="R46" i="2"/>
  <c r="S18" i="2" l="1"/>
  <c r="S19" i="2" s="1"/>
  <c r="S20" i="2" s="1"/>
  <c r="S22" i="2" s="1"/>
  <c r="S24" i="2" l="1"/>
  <c r="S26" i="2" s="1"/>
  <c r="S46" i="2"/>
  <c r="T18" i="2" s="1"/>
  <c r="T19" i="2" l="1"/>
  <c r="T20" i="2" s="1"/>
  <c r="T22" i="2" s="1"/>
  <c r="T24" i="2" l="1"/>
  <c r="T26" i="2" s="1"/>
  <c r="U22" i="2"/>
  <c r="V22" i="2" s="1"/>
  <c r="W22" i="2" s="1"/>
  <c r="X22" i="2" s="1"/>
  <c r="Y22" i="2" s="1"/>
  <c r="Z22" i="2" s="1"/>
  <c r="AA22" i="2" s="1"/>
  <c r="AB22" i="2" s="1"/>
  <c r="AC22" i="2" s="1"/>
  <c r="AD22" i="2" s="1"/>
  <c r="AE22" i="2" s="1"/>
  <c r="AF22" i="2" s="1"/>
  <c r="AG22" i="2" s="1"/>
  <c r="AH22" i="2" s="1"/>
  <c r="AI22" i="2" s="1"/>
  <c r="AJ22" i="2" s="1"/>
  <c r="AK22" i="2" s="1"/>
  <c r="AL22" i="2" s="1"/>
  <c r="AM22" i="2" s="1"/>
  <c r="AN22" i="2" s="1"/>
  <c r="AO22" i="2" s="1"/>
  <c r="AP22" i="2" s="1"/>
  <c r="AQ22" i="2" s="1"/>
  <c r="AR22" i="2" s="1"/>
  <c r="AS22" i="2" s="1"/>
  <c r="AT22" i="2" s="1"/>
  <c r="AU22" i="2" s="1"/>
  <c r="AV22" i="2" s="1"/>
  <c r="AW22" i="2" s="1"/>
  <c r="AX22" i="2" s="1"/>
  <c r="AY22" i="2" s="1"/>
  <c r="AZ22" i="2" s="1"/>
  <c r="BA22" i="2" s="1"/>
  <c r="BB22" i="2" s="1"/>
  <c r="BC22" i="2" s="1"/>
  <c r="BD22" i="2" s="1"/>
  <c r="BE22" i="2" s="1"/>
  <c r="BF22" i="2" s="1"/>
  <c r="BG22" i="2" s="1"/>
  <c r="BH22" i="2" s="1"/>
  <c r="BI22" i="2" s="1"/>
  <c r="W29" i="2" s="1"/>
  <c r="W30" i="2" s="1"/>
  <c r="T4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<sst xmlns="http://schemas.openxmlformats.org/spreadsheetml/2006/main" count="104" uniqueCount="104">
  <si>
    <t>ticket</t>
  </si>
  <si>
    <t>price</t>
  </si>
  <si>
    <t>shares</t>
  </si>
  <si>
    <t>mc</t>
  </si>
  <si>
    <t>cash</t>
  </si>
  <si>
    <t>debt</t>
  </si>
  <si>
    <t>ev</t>
  </si>
  <si>
    <t>Revenue</t>
  </si>
  <si>
    <t>Cost of revenue</t>
  </si>
  <si>
    <t>Operations and support</t>
  </si>
  <si>
    <t>R&amp;D</t>
  </si>
  <si>
    <t>G&amp;A</t>
  </si>
  <si>
    <t>D&amp;A</t>
  </si>
  <si>
    <t>Total Opex and costs</t>
  </si>
  <si>
    <t>Operating Income</t>
  </si>
  <si>
    <t>Interest expenses</t>
  </si>
  <si>
    <t>Other income</t>
  </si>
  <si>
    <t>Pretax Income</t>
  </si>
  <si>
    <t>Taxes</t>
  </si>
  <si>
    <t>Income from equity investments</t>
  </si>
  <si>
    <t>Net income</t>
  </si>
  <si>
    <t>S&amp;M</t>
  </si>
  <si>
    <t>Non-controlling</t>
  </si>
  <si>
    <t>Net income to shareholders</t>
  </si>
  <si>
    <t>Shares</t>
  </si>
  <si>
    <t>EPS</t>
  </si>
  <si>
    <t>CFFO</t>
  </si>
  <si>
    <t>CAPEX</t>
  </si>
  <si>
    <t>FCF</t>
  </si>
  <si>
    <t>SBC</t>
  </si>
  <si>
    <t>Revenue Y/Y</t>
  </si>
  <si>
    <t>Operating Margin</t>
  </si>
  <si>
    <t>Mobility</t>
  </si>
  <si>
    <t>Delivery</t>
  </si>
  <si>
    <t>Freight</t>
  </si>
  <si>
    <t>Others</t>
  </si>
  <si>
    <t>Mobility Y/Y</t>
  </si>
  <si>
    <t>Delivery Y/Y</t>
  </si>
  <si>
    <t>Freight Y/Y</t>
  </si>
  <si>
    <t>US</t>
  </si>
  <si>
    <t>LA</t>
  </si>
  <si>
    <t>EMEA</t>
  </si>
  <si>
    <t>APAC</t>
  </si>
  <si>
    <t>% rev</t>
  </si>
  <si>
    <t>Monthly Active Platform Consumers</t>
  </si>
  <si>
    <t>Trips</t>
  </si>
  <si>
    <t>Bookings</t>
  </si>
  <si>
    <t>Revenue per user</t>
  </si>
  <si>
    <t>Q1 2023</t>
  </si>
  <si>
    <t>Q2 2023</t>
  </si>
  <si>
    <t>Q3 2023</t>
  </si>
  <si>
    <t>Q4 2023</t>
  </si>
  <si>
    <t>Q1 2024</t>
  </si>
  <si>
    <t>net cash</t>
  </si>
  <si>
    <t>Q2 2024</t>
  </si>
  <si>
    <t>Q3 2024</t>
  </si>
  <si>
    <t>S&amp;M %</t>
  </si>
  <si>
    <t>R&amp;D %</t>
  </si>
  <si>
    <t>G&amp;A %</t>
  </si>
  <si>
    <t>COGS %</t>
  </si>
  <si>
    <t>Discount</t>
  </si>
  <si>
    <t>Maturity</t>
  </si>
  <si>
    <t>ROIC</t>
  </si>
  <si>
    <t>NPV</t>
  </si>
  <si>
    <t>Price</t>
  </si>
  <si>
    <t>EV/FCF</t>
  </si>
  <si>
    <t>Didi, JapanTaxi</t>
  </si>
  <si>
    <t>Japan</t>
  </si>
  <si>
    <t>Grab, Ryde</t>
  </si>
  <si>
    <t>Singapore</t>
  </si>
  <si>
    <t>Gojek, Grab</t>
  </si>
  <si>
    <t>Indonesia</t>
  </si>
  <si>
    <t>Bolt, inDriver</t>
  </si>
  <si>
    <t>South Africa</t>
  </si>
  <si>
    <t>Yandex Go</t>
  </si>
  <si>
    <t>Russia</t>
  </si>
  <si>
    <t>Didi, Meituan</t>
  </si>
  <si>
    <t>China</t>
  </si>
  <si>
    <t>Lyft, Facedrive</t>
  </si>
  <si>
    <t>Canada</t>
  </si>
  <si>
    <t>Free Now, Bolt, Clever Shuttle</t>
  </si>
  <si>
    <t>Germany</t>
  </si>
  <si>
    <t>Bolt, Free Now, Marcel</t>
  </si>
  <si>
    <t>France</t>
  </si>
  <si>
    <t>Didi, Beat</t>
  </si>
  <si>
    <t>Mexico</t>
  </si>
  <si>
    <t>Didi, Ola</t>
  </si>
  <si>
    <t>Australia</t>
  </si>
  <si>
    <t>Bolt, Free Now, Gett</t>
  </si>
  <si>
    <t>United Kingdom</t>
  </si>
  <si>
    <t>99 (formerly 99Taxis), Cabify</t>
  </si>
  <si>
    <t>Brazil</t>
  </si>
  <si>
    <t>Ola, Rapido, Meru</t>
  </si>
  <si>
    <t>India</t>
  </si>
  <si>
    <t>Lyft, Via</t>
  </si>
  <si>
    <t>United States</t>
  </si>
  <si>
    <t>Main Competitors</t>
  </si>
  <si>
    <t>Country</t>
  </si>
  <si>
    <t>Estimated Number of Uber Users</t>
  </si>
  <si>
    <t xml:space="preserve">Current Population </t>
  </si>
  <si>
    <t>% Penetration</t>
  </si>
  <si>
    <t>2030 E</t>
  </si>
  <si>
    <t>SUM</t>
  </si>
  <si>
    <t>Q4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</si>
</sst>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 ;_-[$$-409]* \-#,##0.00\ ;_-[$$-409]* &quot;-&quot;??_ ;_-@_ "/>
    <numFmt numFmtId="165" formatCode="0.0%"/>
    <numFmt numFmtId="166" formatCode="[$$-409]#,##0.00"/>
    <numFmt numFmtId="167" formatCode="_([$$-409]* #,##0.00_);_([$$-409]* \(#,##0.00\);_([$$-409]* &quot;-&quot;??_);_(@_)"/>
    <numFmt numFmtId="168" formatCode="_-[$$-409]* #,##0_ ;_-[$$-409]* \-#,##0\ ;_-[$$-409]* &quot;-&quot;??_ ;_-@_ "/>
    <numFmt numFmtId="169" formatCode="0.0\x"/>
    <numFmt numFmtId="170" formatCode="0.0"/>
  </numFmts>
  <fonts count="6" x14ac:knownFonts="1">
    <font>
      <sz val="11"/>
      <color theme="1"/>
      <name val="Aptos Narrow"/>
      <family val="2"/>
      <scheme val="minor"/>
    </font>
    <font>
      <sz val="10"/>
      <color theme="1"/>
      <name val="Arial"/>
      <family val="2"/>
    </font>
    <font>
      <b/>
      <sz val="10"/>
      <color theme="1"/>
      <name val="Arial"/>
      <family val="2"/>
    </font>
    <font>
      <b/>
      <sz val="9"/>
      <color theme="1"/>
      <name val="Arial"/>
      <family val="2"/>
    </font>
    <font>
      <u/>
      <sz val="10"/>
      <color theme="1"/>
      <name val="Arial"/>
      <family val="2"/>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3" fontId="1" fillId="0" borderId="0" xfId="0" applyNumberFormat="1" applyFont="1"/>
    <xf numFmtId="3" fontId="2" fillId="0" borderId="0" xfId="0" applyNumberFormat="1" applyFont="1"/>
    <xf numFmtId="164" fontId="1" fillId="0" borderId="0" xfId="0" applyNumberFormat="1" applyFont="1"/>
    <xf numFmtId="9" fontId="1" fillId="0" borderId="0" xfId="0" applyNumberFormat="1" applyFont="1"/>
    <xf numFmtId="165" fontId="1" fillId="0" borderId="0" xfId="0" applyNumberFormat="1" applyFont="1"/>
    <xf numFmtId="3" fontId="3"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4" fillId="0" borderId="0" xfId="0" applyFont="1"/>
    <xf numFmtId="0" fontId="5" fillId="0" borderId="1" xfId="0" applyFont="1" applyBorder="1" applyAlignment="1">
      <alignment horizontal="center" vertical="top"/>
    </xf>
    <xf numFmtId="0" fontId="5" fillId="0" borderId="2" xfId="0" applyFont="1" applyBorder="1" applyAlignment="1">
      <alignment horizontal="center" vertical="top"/>
    </xf>
    <xf numFmtId="165" fontId="0" fillId="0" borderId="0" xfId="0" applyNumberFormat="1"/>
    <xf numFmtId="170" fontId="0" fillId="0" borderId="0" xfId="0" applyNumberFormat="1"/>
    <xf numFmtId="1" fontId="0" fillId="0" borderId="0" xfId="0" applyNumberForma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14</xdr:col>
      <xdr:colOff>8964</xdr:colOff>
      <xdr:row>0</xdr:row>
      <xdr:rowOff>68231</xdr:rowOff>
    </xdr:from>
    <xdr:to>
      <xdr:col>14</xdr:col>
      <xdr:colOff>25897</xdr:colOff>
      <xdr:row>55</xdr:row>
      <xdr:rowOff>51297</xdr:rowOff>
    </xdr:to>
    <xdr:cxnSp macro="">
      <xdr:nvCxnSpPr>
        <xdr:cNvPr id="3" name="Straight Connector 2">
          <a:extLst>
            <a:ext uri="{FF2B5EF4-FFF2-40B4-BE49-F238E27FC236}">
              <a16:creationId xmlns:a16="http://schemas.microsoft.com/office/drawing/2014/main" id="{7720962A-1AA6-398F-CDD2-3948274EFC9E}"/>
            </a:ext>
          </a:extLst>
        </xdr:cNvPr>
        <xdr:cNvCxnSpPr/>
      </xdr:nvCxnSpPr>
      <xdr:spPr>
        <a:xfrm>
          <a:off x="10775576" y="68231"/>
          <a:ext cx="16933" cy="937807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8466</xdr:colOff>
      <xdr:row>0</xdr:row>
      <xdr:rowOff>16933</xdr:rowOff>
    </xdr:from>
    <xdr:to>
      <xdr:col>8</xdr:col>
      <xdr:colOff>25399</xdr:colOff>
      <xdr:row>54</xdr:row>
      <xdr:rowOff>169332</xdr:rowOff>
    </xdr:to>
    <xdr:cxnSp macro="">
      <xdr:nvCxnSpPr>
        <xdr:cNvPr id="2" name="Straight Connector 1">
          <a:extLst>
            <a:ext uri="{FF2B5EF4-FFF2-40B4-BE49-F238E27FC236}">
              <a16:creationId xmlns:a16="http://schemas.microsoft.com/office/drawing/2014/main" id="{2A55B79C-0FA0-49B1-B6B4-62089DCDA475}"/>
            </a:ext>
          </a:extLst>
        </xdr:cNvPr>
        <xdr:cNvCxnSpPr/>
      </xdr:nvCxnSpPr>
      <xdr:spPr>
        <a:xfrm>
          <a:off x="6756399" y="16933"/>
          <a:ext cx="16933" cy="932179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https://www.bing.com/financeapi/forcetrigger?t=bptw77&amp;q=XNYS%3aUBER&amp;form=skydnc</v>
    <v>Learn more on Bing</v>
  </rv>
  <rv s="1">
    <v>en-GB</v>
    <v>bptw77</v>
    <v>268435456</v>
    <v>1</v>
    <v>Powered by Refinitiv</v>
    <v>0</v>
    <v>UBER TECHNOLOGIES, INC. (XNYS:UBER)</v>
    <v>2</v>
    <v>3</v>
    <v>Finance</v>
    <v>4</v>
    <v>87</v>
    <v>54.84</v>
    <v>1.4195</v>
    <v>5.51</v>
    <v>8.5452999999999987E-2</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70.05</v>
    <v>Software &amp; IT Services</v>
    <v>Stock</v>
    <v>45695.041646110934</v>
    <v>0</v>
    <v>65.540000000000006</v>
    <v>147378572910</v>
    <v>UBER TECHNOLOGIES, INC.</v>
    <v>UBER TECHNOLOGIES, INC.</v>
    <v>65.67</v>
    <v>15.2683</v>
    <v>64.48</v>
    <v>69.989999999999995</v>
    <v>2105709000</v>
    <v>UBER</v>
    <v>UBER TECHNOLOGIES, INC. (XNYS:UBER)</v>
    <v>393</v>
    <v>26985695</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B7CA3-E56E-4BF9-AE05-60BE01F22331}">
  <dimension ref="B2:L21"/>
  <sheetViews>
    <sheetView topLeftCell="G1" workbookViewId="0">
      <selection activeCell="K23" sqref="K23"/>
    </sheetView>
  </sheetViews>
  <sheetFormatPr defaultColWidth="8.88671875" defaultRowHeight="13.2" x14ac:dyDescent="0.25"/>
  <cols>
    <col min="1" max="16384" width="8.88671875" style="1"/>
  </cols>
  <sheetData>
    <row r="2" spans="4:12" x14ac:dyDescent="0.25">
      <c r="K2" s="2" t="s">
        <v>0</v>
      </c>
      <c r="L2" s="1" t="e" vm="1">
        <v>#VALUE!</v>
      </c>
    </row>
    <row r="3" spans="4:12" x14ac:dyDescent="0.25">
      <c r="K3" s="2" t="s">
        <v>1</v>
      </c>
      <c r="L3" s="10" cm="1">
        <f t="array" aca="1" ref="L3" ca="1">+_FV(L2,"Price")</f>
        <v>69.989999999999995</v>
      </c>
    </row>
    <row r="4" spans="4:12" x14ac:dyDescent="0.25">
      <c r="K4" s="2" t="s">
        <v>2</v>
      </c>
      <c r="L4" s="1">
        <v>2076.4969999999998</v>
      </c>
    </row>
    <row r="5" spans="4:12" x14ac:dyDescent="0.25">
      <c r="K5" s="2" t="s">
        <v>3</v>
      </c>
      <c r="L5" s="3">
        <f ca="1">L3*L4</f>
        <v>145334.02502999999</v>
      </c>
    </row>
    <row r="6" spans="4:12" x14ac:dyDescent="0.25">
      <c r="K6" s="2" t="s">
        <v>4</v>
      </c>
      <c r="L6" s="3">
        <f>4208+103+680+1789+1614+4401+870</f>
        <v>13665</v>
      </c>
    </row>
    <row r="7" spans="4:12" x14ac:dyDescent="0.25">
      <c r="K7" s="2" t="s">
        <v>5</v>
      </c>
      <c r="L7" s="3">
        <v>9265</v>
      </c>
    </row>
    <row r="8" spans="4:12" x14ac:dyDescent="0.25">
      <c r="K8" s="2" t="s">
        <v>6</v>
      </c>
      <c r="L8" s="3">
        <f ca="1">+L5-L6+L7</f>
        <v>140934.02502999999</v>
      </c>
    </row>
    <row r="10" spans="4:12" x14ac:dyDescent="0.25">
      <c r="K10" s="2" t="s">
        <v>65</v>
      </c>
      <c r="L10" s="12">
        <f ca="1">+L8/model!H45</f>
        <v>23.658557164680207</v>
      </c>
    </row>
    <row r="16" spans="4:12" x14ac:dyDescent="0.25">
      <c r="D16" s="1" t="s">
        <v>43</v>
      </c>
    </row>
    <row r="17" spans="2:4" x14ac:dyDescent="0.25">
      <c r="B17" s="1" t="s">
        <v>39</v>
      </c>
      <c r="C17" s="1">
        <v>20436</v>
      </c>
      <c r="D17" s="6">
        <f>C17/$C$21</f>
        <v>0.54816126176872937</v>
      </c>
    </row>
    <row r="18" spans="2:4" x14ac:dyDescent="0.25">
      <c r="B18" s="1" t="s">
        <v>40</v>
      </c>
      <c r="C18" s="1">
        <v>2512</v>
      </c>
      <c r="D18" s="6">
        <f>C18/$C$21</f>
        <v>6.7380166841018219E-2</v>
      </c>
    </row>
    <row r="19" spans="2:4" x14ac:dyDescent="0.25">
      <c r="B19" s="1" t="s">
        <v>41</v>
      </c>
      <c r="C19" s="1">
        <v>9904</v>
      </c>
      <c r="D19" s="6">
        <f>C19/$C$21</f>
        <v>0.26565811002923739</v>
      </c>
    </row>
    <row r="20" spans="2:4" x14ac:dyDescent="0.25">
      <c r="B20" s="1" t="s">
        <v>42</v>
      </c>
      <c r="C20" s="1">
        <v>4429</v>
      </c>
      <c r="D20" s="6">
        <f>C20/$C$21</f>
        <v>0.11880046136101499</v>
      </c>
    </row>
    <row r="21" spans="2:4" x14ac:dyDescent="0.25">
      <c r="C21" s="1">
        <f>SUM(C17:C20)</f>
        <v>37281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EAE3-FA27-41B9-AE2E-E84E5664890B}">
  <dimension ref="A2:BI54"/>
  <sheetViews>
    <sheetView tabSelected="1" zoomScale="85" zoomScaleNormal="85" workbookViewId="0">
      <pane xSplit="1" ySplit="2" topLeftCell="P3" activePane="bottomRight" state="frozen"/>
      <selection pane="topRight" activeCell="B1" sqref="B1"/>
      <selection pane="bottomLeft" activeCell="A3" sqref="A3"/>
      <selection pane="bottomRight" activeCell="N3" sqref="N3"/>
    </sheetView>
  </sheetViews>
  <sheetFormatPr defaultColWidth="8.88671875" defaultRowHeight="13.2" x14ac:dyDescent="0.25"/>
  <cols>
    <col min="1" max="1" width="26.6640625" style="1" bestFit="1" customWidth="1"/>
    <col min="2" max="10" width="10.33203125" style="1" customWidth="1"/>
    <col min="11" max="11" width="9" style="1" customWidth="1"/>
    <col min="12" max="13" width="9.6640625" style="1" bestFit="1" customWidth="1"/>
    <col min="14" max="20" width="9" style="1" bestFit="1" customWidth="1"/>
    <col min="21" max="22" width="8.88671875" style="1"/>
    <col min="23" max="23" width="12.33203125" style="1" bestFit="1" customWidth="1"/>
    <col min="24" max="16384" width="8.88671875" style="1"/>
  </cols>
  <sheetData>
    <row r="2" spans="1:20" ht="13.95" customHeight="1" x14ac:dyDescent="0.25">
      <c r="B2" s="2" t="s">
        <v>48</v>
      </c>
      <c r="C2" s="2" t="s">
        <v>49</v>
      </c>
      <c r="D2" s="2" t="s">
        <v>50</v>
      </c>
      <c r="E2" s="2" t="s">
        <v>51</v>
      </c>
      <c r="F2" s="2" t="s">
        <v>52</v>
      </c>
      <c r="G2" s="2" t="s">
        <v>54</v>
      </c>
      <c r="H2" s="2" t="s">
        <v>55</v>
      </c>
      <c r="I2" s="2" t="s">
        <v>103</v>
      </c>
      <c r="K2" s="2">
        <v>2021</v>
      </c>
      <c r="L2" s="2">
        <v>2022</v>
      </c>
      <c r="M2" s="2">
        <v>2023</v>
      </c>
      <c r="N2" s="2">
        <f>+M2+1</f>
        <v>2024</v>
      </c>
      <c r="O2" s="2">
        <f t="shared" ref="O2:T2" si="0">+N2+1</f>
        <v>2025</v>
      </c>
      <c r="P2" s="2">
        <f t="shared" si="0"/>
        <v>2026</v>
      </c>
      <c r="Q2" s="2">
        <f t="shared" si="0"/>
        <v>2027</v>
      </c>
      <c r="R2" s="2">
        <f t="shared" si="0"/>
        <v>2028</v>
      </c>
      <c r="S2" s="2">
        <f t="shared" si="0"/>
        <v>2029</v>
      </c>
      <c r="T2" s="2">
        <f t="shared" si="0"/>
        <v>2030</v>
      </c>
    </row>
    <row r="3" spans="1:20" ht="13.95" customHeight="1" x14ac:dyDescent="0.25">
      <c r="A3" s="1" t="s">
        <v>32</v>
      </c>
      <c r="B3" s="3">
        <v>4330</v>
      </c>
      <c r="C3" s="3">
        <v>4894</v>
      </c>
      <c r="D3" s="3">
        <v>5071</v>
      </c>
      <c r="E3" s="3">
        <v>5537</v>
      </c>
      <c r="F3" s="3">
        <v>5633</v>
      </c>
      <c r="G3" s="3">
        <v>6134</v>
      </c>
      <c r="H3" s="3">
        <v>6409</v>
      </c>
      <c r="I3" s="3">
        <v>6911</v>
      </c>
      <c r="K3" s="3">
        <v>6953</v>
      </c>
      <c r="L3" s="3">
        <v>14029</v>
      </c>
      <c r="M3" s="3">
        <v>19832</v>
      </c>
      <c r="N3" s="3">
        <f t="shared" ref="N3:N5" si="1">+SUM(F3:I3)</f>
        <v>25087</v>
      </c>
      <c r="O3" s="3"/>
      <c r="P3" s="3"/>
      <c r="Q3" s="3"/>
      <c r="R3" s="3"/>
      <c r="S3" s="3"/>
      <c r="T3" s="3"/>
    </row>
    <row r="4" spans="1:20" ht="13.95" customHeight="1" x14ac:dyDescent="0.25">
      <c r="A4" s="1" t="s">
        <v>33</v>
      </c>
      <c r="B4" s="3">
        <v>3093</v>
      </c>
      <c r="C4" s="3">
        <v>3057</v>
      </c>
      <c r="D4" s="3">
        <v>2935</v>
      </c>
      <c r="E4" s="3">
        <v>3119</v>
      </c>
      <c r="F4" s="3">
        <v>3214</v>
      </c>
      <c r="G4" s="3">
        <v>3293</v>
      </c>
      <c r="H4" s="3">
        <v>3470</v>
      </c>
      <c r="I4" s="3">
        <v>3773</v>
      </c>
      <c r="K4" s="3">
        <v>8362</v>
      </c>
      <c r="L4" s="3">
        <v>10901</v>
      </c>
      <c r="M4" s="3">
        <v>12204</v>
      </c>
      <c r="N4" s="3">
        <f t="shared" si="1"/>
        <v>13750</v>
      </c>
      <c r="O4" s="3"/>
      <c r="P4" s="3"/>
      <c r="Q4" s="3"/>
      <c r="R4" s="3"/>
      <c r="S4" s="3"/>
      <c r="T4" s="3"/>
    </row>
    <row r="5" spans="1:20" x14ac:dyDescent="0.25">
      <c r="A5" s="1" t="s">
        <v>34</v>
      </c>
      <c r="B5" s="3">
        <v>1400</v>
      </c>
      <c r="C5" s="3">
        <v>1279</v>
      </c>
      <c r="D5" s="3">
        <v>1286</v>
      </c>
      <c r="E5" s="3">
        <v>1280</v>
      </c>
      <c r="F5" s="3">
        <v>1284</v>
      </c>
      <c r="G5" s="3">
        <v>1273</v>
      </c>
      <c r="H5" s="3">
        <v>1309</v>
      </c>
      <c r="I5" s="3">
        <v>1275</v>
      </c>
      <c r="K5" s="3">
        <v>2132</v>
      </c>
      <c r="L5" s="3">
        <v>6947</v>
      </c>
      <c r="M5" s="3">
        <v>5245</v>
      </c>
      <c r="N5" s="3">
        <f t="shared" si="1"/>
        <v>5141</v>
      </c>
      <c r="O5" s="3"/>
      <c r="P5" s="3"/>
      <c r="Q5" s="3"/>
      <c r="R5" s="3"/>
      <c r="S5" s="3"/>
      <c r="T5" s="3"/>
    </row>
    <row r="6" spans="1:20" x14ac:dyDescent="0.25">
      <c r="A6" s="1" t="s">
        <v>35</v>
      </c>
      <c r="B6" s="3">
        <v>0</v>
      </c>
      <c r="C6" s="3">
        <v>0</v>
      </c>
      <c r="D6" s="3">
        <v>0</v>
      </c>
      <c r="E6" s="3">
        <v>0</v>
      </c>
      <c r="F6" s="3">
        <v>0</v>
      </c>
      <c r="G6" s="3"/>
      <c r="H6" s="3"/>
      <c r="K6" s="3">
        <v>8</v>
      </c>
      <c r="L6" s="3"/>
      <c r="M6" s="3"/>
      <c r="N6" s="3"/>
      <c r="O6" s="3"/>
      <c r="P6" s="3"/>
      <c r="Q6" s="3"/>
      <c r="R6" s="3"/>
      <c r="S6" s="3"/>
      <c r="T6" s="3"/>
    </row>
    <row r="7" spans="1:20" x14ac:dyDescent="0.25">
      <c r="K7" s="3"/>
      <c r="L7" s="3"/>
      <c r="M7" s="3"/>
      <c r="N7" s="3"/>
      <c r="O7" s="3"/>
      <c r="P7" s="3"/>
      <c r="Q7" s="3"/>
      <c r="R7" s="3"/>
      <c r="S7" s="3"/>
      <c r="T7" s="3"/>
    </row>
    <row r="8" spans="1:20" x14ac:dyDescent="0.25">
      <c r="A8" s="2" t="s">
        <v>7</v>
      </c>
      <c r="B8" s="4">
        <f t="shared" ref="B8:H8" si="2">SUM(B3:B6)</f>
        <v>8823</v>
      </c>
      <c r="C8" s="4">
        <f t="shared" si="2"/>
        <v>9230</v>
      </c>
      <c r="D8" s="4">
        <f t="shared" si="2"/>
        <v>9292</v>
      </c>
      <c r="E8" s="4">
        <f t="shared" si="2"/>
        <v>9936</v>
      </c>
      <c r="F8" s="4">
        <f t="shared" si="2"/>
        <v>10131</v>
      </c>
      <c r="G8" s="4">
        <f t="shared" si="2"/>
        <v>10700</v>
      </c>
      <c r="H8" s="4">
        <f t="shared" si="2"/>
        <v>11188</v>
      </c>
      <c r="I8" s="4">
        <f t="shared" ref="I8" si="3">SUM(I3:I6)</f>
        <v>11959</v>
      </c>
      <c r="J8" s="4"/>
      <c r="K8" s="4">
        <f>SUM(K3:K6)</f>
        <v>17455</v>
      </c>
      <c r="L8" s="4">
        <f t="shared" ref="L8" si="4">SUM(L3:L6)</f>
        <v>31877</v>
      </c>
      <c r="M8" s="4">
        <f>SUM(M3:M6)</f>
        <v>37281</v>
      </c>
      <c r="N8" s="4">
        <f>+SUM(F8:I8)</f>
        <v>43978</v>
      </c>
      <c r="O8" s="4">
        <f t="shared" ref="O8:S8" si="5">+O35*O39</f>
        <v>50503.199132009984</v>
      </c>
      <c r="P8" s="4">
        <f t="shared" si="5"/>
        <v>57220.124616567315</v>
      </c>
      <c r="Q8" s="4">
        <f t="shared" si="5"/>
        <v>63651.666623469486</v>
      </c>
      <c r="R8" s="4">
        <f t="shared" si="5"/>
        <v>70806.113951947467</v>
      </c>
      <c r="S8" s="4">
        <f t="shared" si="5"/>
        <v>78764.721160146364</v>
      </c>
      <c r="T8" s="4">
        <f>+T35*T39</f>
        <v>87617.875818546818</v>
      </c>
    </row>
    <row r="9" spans="1:20" x14ac:dyDescent="0.25">
      <c r="A9" s="1" t="s">
        <v>8</v>
      </c>
      <c r="B9" s="3">
        <v>5259</v>
      </c>
      <c r="C9" s="3">
        <v>5515</v>
      </c>
      <c r="D9" s="3">
        <v>5626</v>
      </c>
      <c r="E9" s="3">
        <v>6057</v>
      </c>
      <c r="F9" s="3">
        <v>6168</v>
      </c>
      <c r="G9" s="3">
        <v>6488</v>
      </c>
      <c r="H9" s="3">
        <v>6761</v>
      </c>
      <c r="I9" s="3">
        <v>7234</v>
      </c>
      <c r="J9" s="3"/>
      <c r="K9" s="3">
        <v>9351</v>
      </c>
      <c r="L9" s="3">
        <v>19659</v>
      </c>
      <c r="M9" s="3">
        <v>22457</v>
      </c>
      <c r="N9" s="3">
        <f t="shared" ref="N9:N13" si="6">+SUM(F9:I9)</f>
        <v>26651</v>
      </c>
      <c r="O9" s="3">
        <f>+O8*0.6</f>
        <v>30301.91947920599</v>
      </c>
      <c r="P9" s="3">
        <f>+P8*0.58</f>
        <v>33187.672277609039</v>
      </c>
      <c r="Q9" s="3">
        <f t="shared" ref="Q9:R9" si="7">+Q8*0.58</f>
        <v>36917.9666416123</v>
      </c>
      <c r="R9" s="3">
        <f t="shared" si="7"/>
        <v>41067.546092129531</v>
      </c>
      <c r="S9" s="3">
        <f t="shared" ref="S9" si="8">+S8*0.58</f>
        <v>45683.538272884885</v>
      </c>
      <c r="T9" s="3">
        <f t="shared" ref="T9" si="9">+T8*0.58</f>
        <v>50818.367974757151</v>
      </c>
    </row>
    <row r="10" spans="1:20" x14ac:dyDescent="0.25">
      <c r="A10" s="1" t="s">
        <v>9</v>
      </c>
      <c r="B10" s="3">
        <v>640</v>
      </c>
      <c r="C10" s="3">
        <v>664</v>
      </c>
      <c r="D10" s="3">
        <v>683</v>
      </c>
      <c r="E10" s="3">
        <v>702</v>
      </c>
      <c r="F10" s="3">
        <v>685</v>
      </c>
      <c r="G10" s="3">
        <v>682</v>
      </c>
      <c r="H10" s="3">
        <v>687</v>
      </c>
      <c r="I10" s="3">
        <v>678</v>
      </c>
      <c r="J10" s="3"/>
      <c r="K10" s="3">
        <v>1877</v>
      </c>
      <c r="L10" s="3">
        <v>2413</v>
      </c>
      <c r="M10" s="3">
        <v>2689</v>
      </c>
      <c r="N10" s="3">
        <f t="shared" si="6"/>
        <v>2732</v>
      </c>
      <c r="O10" s="3">
        <f t="shared" ref="O10:T10" si="10">+N10*1.1</f>
        <v>3005.2000000000003</v>
      </c>
      <c r="P10" s="3">
        <f t="shared" si="10"/>
        <v>3305.7200000000007</v>
      </c>
      <c r="Q10" s="3">
        <f t="shared" si="10"/>
        <v>3636.2920000000013</v>
      </c>
      <c r="R10" s="3">
        <f t="shared" si="10"/>
        <v>3999.9212000000016</v>
      </c>
      <c r="S10" s="3">
        <f t="shared" si="10"/>
        <v>4399.9133200000024</v>
      </c>
      <c r="T10" s="3">
        <f t="shared" si="10"/>
        <v>4839.9046520000029</v>
      </c>
    </row>
    <row r="11" spans="1:20" x14ac:dyDescent="0.25">
      <c r="A11" s="1" t="s">
        <v>21</v>
      </c>
      <c r="B11" s="3">
        <v>1262</v>
      </c>
      <c r="C11" s="3">
        <v>1218</v>
      </c>
      <c r="D11" s="3">
        <v>941</v>
      </c>
      <c r="E11" s="3">
        <v>935</v>
      </c>
      <c r="F11" s="3">
        <v>917</v>
      </c>
      <c r="G11" s="3">
        <v>1115</v>
      </c>
      <c r="H11" s="3">
        <v>1096</v>
      </c>
      <c r="I11" s="3">
        <v>1209</v>
      </c>
      <c r="J11" s="3"/>
      <c r="K11" s="3">
        <v>4789</v>
      </c>
      <c r="L11" s="3">
        <v>4756</v>
      </c>
      <c r="M11" s="3">
        <v>4356</v>
      </c>
      <c r="N11" s="3">
        <f t="shared" si="6"/>
        <v>4337</v>
      </c>
      <c r="O11" s="3">
        <f>+O8*0.095</f>
        <v>4797.8039175409485</v>
      </c>
      <c r="P11" s="3">
        <f>+P8*0.085</f>
        <v>4863.7105924082225</v>
      </c>
      <c r="Q11" s="3">
        <f>+Q8*0.075</f>
        <v>4773.8749967602116</v>
      </c>
      <c r="R11" s="3">
        <f>+R8*0.07</f>
        <v>4956.4279766363234</v>
      </c>
      <c r="S11" s="3">
        <f>+S8*0.065</f>
        <v>5119.7068754095135</v>
      </c>
      <c r="T11" s="3">
        <f>+T8*0.06</f>
        <v>5257.0725491128087</v>
      </c>
    </row>
    <row r="12" spans="1:20" x14ac:dyDescent="0.25">
      <c r="A12" s="1" t="s">
        <v>10</v>
      </c>
      <c r="B12" s="3">
        <v>775</v>
      </c>
      <c r="C12" s="3">
        <v>808</v>
      </c>
      <c r="D12" s="3">
        <v>797</v>
      </c>
      <c r="E12" s="3">
        <v>784</v>
      </c>
      <c r="F12" s="3">
        <v>790</v>
      </c>
      <c r="G12" s="3">
        <v>760</v>
      </c>
      <c r="H12" s="3">
        <v>774</v>
      </c>
      <c r="I12" s="3">
        <v>785</v>
      </c>
      <c r="J12" s="3"/>
      <c r="K12" s="3">
        <v>2054</v>
      </c>
      <c r="L12" s="3">
        <v>2798</v>
      </c>
      <c r="M12" s="3">
        <v>3164</v>
      </c>
      <c r="N12" s="3">
        <f t="shared" si="6"/>
        <v>3109</v>
      </c>
      <c r="O12" s="3">
        <f>O8*0.06</f>
        <v>3030.191947920599</v>
      </c>
      <c r="P12" s="3">
        <f>P8*0.055</f>
        <v>3147.1068539112025</v>
      </c>
      <c r="Q12" s="3">
        <f>Q8*0.045</f>
        <v>2864.3249980561268</v>
      </c>
      <c r="R12" s="3">
        <f>R8*0.04</f>
        <v>2832.2445580778985</v>
      </c>
      <c r="S12" s="3">
        <f t="shared" ref="S12:T12" si="11">S8*0.04</f>
        <v>3150.5888464058548</v>
      </c>
      <c r="T12" s="3">
        <f t="shared" si="11"/>
        <v>3504.7150327418726</v>
      </c>
    </row>
    <row r="13" spans="1:20" x14ac:dyDescent="0.25">
      <c r="A13" s="1" t="s">
        <v>11</v>
      </c>
      <c r="B13" s="3">
        <v>942</v>
      </c>
      <c r="C13" s="3">
        <v>491</v>
      </c>
      <c r="D13" s="3">
        <v>646</v>
      </c>
      <c r="E13" s="3">
        <v>603</v>
      </c>
      <c r="F13" s="3">
        <f>1209</f>
        <v>1209</v>
      </c>
      <c r="G13" s="3">
        <v>686</v>
      </c>
      <c r="H13" s="3">
        <v>630</v>
      </c>
      <c r="I13" s="3">
        <v>1114</v>
      </c>
      <c r="J13" s="3"/>
      <c r="K13" s="3">
        <v>2316</v>
      </c>
      <c r="L13" s="3">
        <v>3136</v>
      </c>
      <c r="M13" s="3">
        <v>2682</v>
      </c>
      <c r="N13" s="3">
        <f t="shared" si="6"/>
        <v>3639</v>
      </c>
      <c r="O13" s="3">
        <f t="shared" ref="O13:T13" si="12">+N13*1.05</f>
        <v>3820.9500000000003</v>
      </c>
      <c r="P13" s="3">
        <f t="shared" si="12"/>
        <v>4011.9975000000004</v>
      </c>
      <c r="Q13" s="3">
        <f t="shared" si="12"/>
        <v>4212.5973750000003</v>
      </c>
      <c r="R13" s="3">
        <f t="shared" si="12"/>
        <v>4423.2272437500005</v>
      </c>
      <c r="S13" s="3">
        <f t="shared" si="12"/>
        <v>4644.3886059375009</v>
      </c>
      <c r="T13" s="3">
        <f t="shared" si="12"/>
        <v>4876.6080362343764</v>
      </c>
    </row>
    <row r="14" spans="1:20" x14ac:dyDescent="0.25">
      <c r="A14" s="1" t="s">
        <v>12</v>
      </c>
      <c r="B14" s="3">
        <v>207</v>
      </c>
      <c r="C14" s="3">
        <v>208</v>
      </c>
      <c r="D14" s="3">
        <v>205</v>
      </c>
      <c r="E14" s="3">
        <v>203</v>
      </c>
      <c r="F14" s="3">
        <v>190</v>
      </c>
      <c r="G14" s="3">
        <v>173</v>
      </c>
      <c r="H14" s="3">
        <v>179</v>
      </c>
      <c r="I14" s="3">
        <v>169</v>
      </c>
      <c r="J14" s="3"/>
      <c r="K14" s="3">
        <v>902</v>
      </c>
      <c r="L14" s="3">
        <v>947</v>
      </c>
      <c r="M14" s="3">
        <v>823</v>
      </c>
      <c r="N14" s="3">
        <f>+M14*1.05</f>
        <v>864.15000000000009</v>
      </c>
      <c r="O14" s="3">
        <f t="shared" ref="O14:T14" si="13">+N14*1.05</f>
        <v>907.35750000000019</v>
      </c>
      <c r="P14" s="3">
        <f t="shared" si="13"/>
        <v>952.72537500000021</v>
      </c>
      <c r="Q14" s="3">
        <f t="shared" si="13"/>
        <v>1000.3616437500002</v>
      </c>
      <c r="R14" s="3">
        <f t="shared" si="13"/>
        <v>1050.3797259375003</v>
      </c>
      <c r="S14" s="3">
        <f t="shared" si="13"/>
        <v>1102.8987122343754</v>
      </c>
      <c r="T14" s="3">
        <f t="shared" si="13"/>
        <v>1158.0436478460942</v>
      </c>
    </row>
    <row r="15" spans="1:20" x14ac:dyDescent="0.25">
      <c r="A15" s="1" t="s">
        <v>13</v>
      </c>
      <c r="B15" s="3">
        <f t="shared" ref="B15:E15" si="14">+SUM(B9:B14)</f>
        <v>9085</v>
      </c>
      <c r="C15" s="3">
        <f t="shared" si="14"/>
        <v>8904</v>
      </c>
      <c r="D15" s="3">
        <f t="shared" si="14"/>
        <v>8898</v>
      </c>
      <c r="E15" s="3">
        <f t="shared" si="14"/>
        <v>9284</v>
      </c>
      <c r="F15" s="3">
        <f>+SUM(F9:F14)</f>
        <v>9959</v>
      </c>
      <c r="G15" s="3">
        <f t="shared" ref="G15:H15" si="15">+SUM(G9:G14)</f>
        <v>9904</v>
      </c>
      <c r="H15" s="3">
        <f t="shared" si="15"/>
        <v>10127</v>
      </c>
      <c r="I15" s="3">
        <f t="shared" ref="I15" si="16">+SUM(I9:I14)</f>
        <v>11189</v>
      </c>
      <c r="J15" s="3"/>
      <c r="K15" s="3">
        <f>K9+K10+K11+K12+K13+K14</f>
        <v>21289</v>
      </c>
      <c r="L15" s="3">
        <f>L9+L10+L11+L12+L13+L14</f>
        <v>33709</v>
      </c>
      <c r="M15" s="3">
        <f>M9+M10+M11+M12+M13+M14</f>
        <v>36171</v>
      </c>
      <c r="N15" s="3">
        <f t="shared" ref="N15:T15" si="17">N9+N10+N11+N12+N13+N14</f>
        <v>41332.15</v>
      </c>
      <c r="O15" s="3">
        <f t="shared" si="17"/>
        <v>45863.422844667533</v>
      </c>
      <c r="P15" s="3">
        <f t="shared" si="17"/>
        <v>49468.932598928463</v>
      </c>
      <c r="Q15" s="3">
        <f t="shared" si="17"/>
        <v>53405.417655178637</v>
      </c>
      <c r="R15" s="3">
        <f t="shared" si="17"/>
        <v>58329.746796531261</v>
      </c>
      <c r="S15" s="3">
        <f t="shared" si="17"/>
        <v>64101.034632872128</v>
      </c>
      <c r="T15" s="3">
        <f t="shared" si="17"/>
        <v>70454.711892692299</v>
      </c>
    </row>
    <row r="16" spans="1:20" x14ac:dyDescent="0.25">
      <c r="A16" s="2" t="s">
        <v>14</v>
      </c>
      <c r="B16" s="4">
        <f t="shared" ref="B16:E16" si="18">+B8-B15</f>
        <v>-262</v>
      </c>
      <c r="C16" s="4">
        <f t="shared" si="18"/>
        <v>326</v>
      </c>
      <c r="D16" s="4">
        <f t="shared" si="18"/>
        <v>394</v>
      </c>
      <c r="E16" s="4">
        <f t="shared" si="18"/>
        <v>652</v>
      </c>
      <c r="F16" s="4">
        <f>+F8-F15</f>
        <v>172</v>
      </c>
      <c r="G16" s="4">
        <f t="shared" ref="G16:H16" si="19">+G8-G15</f>
        <v>796</v>
      </c>
      <c r="H16" s="4">
        <f t="shared" si="19"/>
        <v>1061</v>
      </c>
      <c r="I16" s="4">
        <f t="shared" ref="I16" si="20">+I8-I15</f>
        <v>770</v>
      </c>
      <c r="J16" s="4"/>
      <c r="K16" s="4">
        <f>+K8-K15</f>
        <v>-3834</v>
      </c>
      <c r="L16" s="4">
        <f>+L8-L15</f>
        <v>-1832</v>
      </c>
      <c r="M16" s="4">
        <f>+M8-M15</f>
        <v>1110</v>
      </c>
      <c r="N16" s="4">
        <f t="shared" ref="N16:T16" si="21">+N8-N15</f>
        <v>2645.8499999999985</v>
      </c>
      <c r="O16" s="4">
        <f t="shared" si="21"/>
        <v>4639.7762873424508</v>
      </c>
      <c r="P16" s="4">
        <f t="shared" si="21"/>
        <v>7751.1920176388521</v>
      </c>
      <c r="Q16" s="4">
        <f t="shared" si="21"/>
        <v>10246.248968290849</v>
      </c>
      <c r="R16" s="4">
        <f t="shared" si="21"/>
        <v>12476.367155416207</v>
      </c>
      <c r="S16" s="4">
        <f t="shared" si="21"/>
        <v>14663.686527274236</v>
      </c>
      <c r="T16" s="4">
        <f t="shared" si="21"/>
        <v>17163.163925854518</v>
      </c>
    </row>
    <row r="17" spans="1:61" x14ac:dyDescent="0.25">
      <c r="A17" s="1" t="s">
        <v>15</v>
      </c>
      <c r="B17" s="3">
        <v>-168</v>
      </c>
      <c r="C17" s="3">
        <v>-144</v>
      </c>
      <c r="D17" s="3">
        <v>-166</v>
      </c>
      <c r="E17" s="3">
        <v>-155</v>
      </c>
      <c r="F17" s="3">
        <v>-124</v>
      </c>
      <c r="G17" s="3">
        <v>-139</v>
      </c>
      <c r="H17" s="3">
        <v>-143</v>
      </c>
      <c r="I17" s="3">
        <v>-117</v>
      </c>
      <c r="J17" s="3"/>
      <c r="K17" s="3">
        <v>-483</v>
      </c>
      <c r="L17" s="3">
        <v>-565</v>
      </c>
      <c r="M17" s="3">
        <v>-633</v>
      </c>
      <c r="N17" s="3">
        <f t="shared" ref="N17:N18" si="22">+SUM(F17:I17)</f>
        <v>-523</v>
      </c>
      <c r="O17" s="3">
        <f t="shared" ref="O17:T17" si="23">+N17*0.98</f>
        <v>-512.54</v>
      </c>
      <c r="P17" s="3">
        <f t="shared" si="23"/>
        <v>-502.28919999999994</v>
      </c>
      <c r="Q17" s="3">
        <f t="shared" si="23"/>
        <v>-492.24341599999991</v>
      </c>
      <c r="R17" s="3">
        <f t="shared" si="23"/>
        <v>-482.39854767999992</v>
      </c>
      <c r="S17" s="3">
        <f t="shared" si="23"/>
        <v>-472.75057672639991</v>
      </c>
      <c r="T17" s="3">
        <f t="shared" si="23"/>
        <v>-463.2955651918719</v>
      </c>
    </row>
    <row r="18" spans="1:61" x14ac:dyDescent="0.25">
      <c r="A18" s="1" t="s">
        <v>16</v>
      </c>
      <c r="B18" s="3">
        <v>292</v>
      </c>
      <c r="C18" s="3">
        <v>273</v>
      </c>
      <c r="D18" s="3">
        <v>-52</v>
      </c>
      <c r="E18" s="3">
        <v>1331</v>
      </c>
      <c r="F18" s="3">
        <v>-678</v>
      </c>
      <c r="G18" s="3">
        <v>420</v>
      </c>
      <c r="H18" s="3">
        <v>1851</v>
      </c>
      <c r="I18" s="3">
        <v>256</v>
      </c>
      <c r="J18" s="3"/>
      <c r="K18" s="3">
        <v>3292</v>
      </c>
      <c r="L18" s="3">
        <v>-7029</v>
      </c>
      <c r="M18" s="3">
        <v>1844</v>
      </c>
      <c r="N18" s="3">
        <f t="shared" si="22"/>
        <v>1849</v>
      </c>
      <c r="O18" s="3">
        <f t="shared" ref="O18:S18" si="24">+N46*$W$28</f>
        <v>521.66660000000002</v>
      </c>
      <c r="P18" s="3">
        <f t="shared" si="24"/>
        <v>689.02710394432825</v>
      </c>
      <c r="Q18" s="3">
        <f t="shared" si="24"/>
        <v>974.79258112132277</v>
      </c>
      <c r="R18" s="3">
        <f t="shared" si="24"/>
        <v>1361.029313924161</v>
      </c>
      <c r="S18" s="3">
        <f t="shared" si="24"/>
        <v>1841.809239103934</v>
      </c>
      <c r="T18" s="3">
        <f>+S46*$W$28</f>
        <v>2418.9880659313976</v>
      </c>
    </row>
    <row r="19" spans="1:61" x14ac:dyDescent="0.25">
      <c r="A19" s="1" t="s">
        <v>17</v>
      </c>
      <c r="B19" s="3">
        <f t="shared" ref="B19:E19" si="25">+B16+B17+B18</f>
        <v>-138</v>
      </c>
      <c r="C19" s="3">
        <f t="shared" si="25"/>
        <v>455</v>
      </c>
      <c r="D19" s="3">
        <f t="shared" si="25"/>
        <v>176</v>
      </c>
      <c r="E19" s="3">
        <f t="shared" si="25"/>
        <v>1828</v>
      </c>
      <c r="F19" s="3">
        <f>+F16+F17+F18</f>
        <v>-630</v>
      </c>
      <c r="G19" s="3">
        <f t="shared" ref="G19:H19" si="26">+G16+G17+G18</f>
        <v>1077</v>
      </c>
      <c r="H19" s="3">
        <f t="shared" si="26"/>
        <v>2769</v>
      </c>
      <c r="I19" s="3">
        <f t="shared" ref="I19" si="27">+I16+I17+I18</f>
        <v>909</v>
      </c>
      <c r="J19" s="3"/>
      <c r="K19" s="3">
        <f>+K16+K17+K18</f>
        <v>-1025</v>
      </c>
      <c r="L19" s="3">
        <f t="shared" ref="L19" si="28">+L16+L17+L18</f>
        <v>-9426</v>
      </c>
      <c r="M19" s="3">
        <f>+M16+M17+M18</f>
        <v>2321</v>
      </c>
      <c r="N19" s="3">
        <f t="shared" ref="N19:T19" si="29">+N16+N17+N18</f>
        <v>3971.8499999999985</v>
      </c>
      <c r="O19" s="3">
        <f t="shared" si="29"/>
        <v>4648.9028873424504</v>
      </c>
      <c r="P19" s="3">
        <f t="shared" si="29"/>
        <v>7937.9299215831797</v>
      </c>
      <c r="Q19" s="3">
        <f t="shared" si="29"/>
        <v>10728.798133412172</v>
      </c>
      <c r="R19" s="3">
        <f t="shared" si="29"/>
        <v>13354.997921660366</v>
      </c>
      <c r="S19" s="3">
        <f t="shared" si="29"/>
        <v>16032.74518965177</v>
      </c>
      <c r="T19" s="3">
        <f t="shared" si="29"/>
        <v>19118.856426594044</v>
      </c>
    </row>
    <row r="20" spans="1:61" x14ac:dyDescent="0.25">
      <c r="A20" s="1" t="s">
        <v>18</v>
      </c>
      <c r="B20" s="3">
        <v>55</v>
      </c>
      <c r="C20" s="3">
        <v>65</v>
      </c>
      <c r="D20" s="3">
        <v>-40</v>
      </c>
      <c r="E20" s="3">
        <v>133</v>
      </c>
      <c r="F20" s="3">
        <v>29</v>
      </c>
      <c r="G20" s="3">
        <v>57</v>
      </c>
      <c r="H20" s="3">
        <v>158</v>
      </c>
      <c r="I20" s="3">
        <v>-6002</v>
      </c>
      <c r="J20" s="3"/>
      <c r="K20" s="3">
        <v>-492</v>
      </c>
      <c r="L20" s="3">
        <v>-181</v>
      </c>
      <c r="M20" s="3">
        <v>213</v>
      </c>
      <c r="N20" s="3">
        <f>+N19*0.1</f>
        <v>397.18499999999989</v>
      </c>
      <c r="O20" s="3">
        <f t="shared" ref="O20:T20" si="30">+O19*0.1</f>
        <v>464.89028873424508</v>
      </c>
      <c r="P20" s="3">
        <f t="shared" si="30"/>
        <v>793.79299215831804</v>
      </c>
      <c r="Q20" s="3">
        <f t="shared" si="30"/>
        <v>1072.8798133412172</v>
      </c>
      <c r="R20" s="3">
        <f t="shared" si="30"/>
        <v>1335.4997921660367</v>
      </c>
      <c r="S20" s="3">
        <f t="shared" si="30"/>
        <v>1603.2745189651771</v>
      </c>
      <c r="T20" s="3">
        <f t="shared" si="30"/>
        <v>1911.8856426594045</v>
      </c>
    </row>
    <row r="21" spans="1:61" x14ac:dyDescent="0.25">
      <c r="A21" s="1" t="s">
        <v>19</v>
      </c>
      <c r="B21" s="3">
        <v>36</v>
      </c>
      <c r="C21" s="3">
        <v>4</v>
      </c>
      <c r="D21" s="3">
        <v>3</v>
      </c>
      <c r="E21" s="3">
        <v>5</v>
      </c>
      <c r="F21" s="3">
        <v>-4</v>
      </c>
      <c r="G21" s="3">
        <v>-12</v>
      </c>
      <c r="H21" s="3">
        <v>-12</v>
      </c>
      <c r="I21" s="3">
        <v>-10</v>
      </c>
      <c r="J21" s="3"/>
      <c r="K21" s="3">
        <v>-37</v>
      </c>
      <c r="L21" s="3">
        <v>107</v>
      </c>
      <c r="M21" s="3">
        <v>48</v>
      </c>
      <c r="N21" s="3">
        <f t="shared" ref="N21" si="31">+SUM(F21:I21)</f>
        <v>-38</v>
      </c>
      <c r="O21" s="3"/>
      <c r="P21" s="3"/>
      <c r="Q21" s="3"/>
      <c r="R21" s="3"/>
      <c r="S21" s="3"/>
      <c r="T21" s="3"/>
    </row>
    <row r="22" spans="1:61" x14ac:dyDescent="0.25">
      <c r="A22" s="2" t="s">
        <v>20</v>
      </c>
      <c r="B22" s="4">
        <f t="shared" ref="B22:E22" si="32">+B19-B20+B21</f>
        <v>-157</v>
      </c>
      <c r="C22" s="4">
        <f t="shared" si="32"/>
        <v>394</v>
      </c>
      <c r="D22" s="4">
        <f t="shared" si="32"/>
        <v>219</v>
      </c>
      <c r="E22" s="4">
        <f t="shared" si="32"/>
        <v>1700</v>
      </c>
      <c r="F22" s="4">
        <f>+F19-F20+F21</f>
        <v>-663</v>
      </c>
      <c r="G22" s="4">
        <f t="shared" ref="G22:H22" si="33">+G19-G20+G21</f>
        <v>1008</v>
      </c>
      <c r="H22" s="4">
        <f t="shared" si="33"/>
        <v>2599</v>
      </c>
      <c r="I22" s="4">
        <f t="shared" ref="I22" si="34">+I19-I20+I21</f>
        <v>6901</v>
      </c>
      <c r="J22" s="3"/>
      <c r="K22" s="4">
        <f>+K19-K20+K21</f>
        <v>-570</v>
      </c>
      <c r="L22" s="4">
        <f>+L19-L20+L21</f>
        <v>-9138</v>
      </c>
      <c r="M22" s="4">
        <f>+M19-M20+M21</f>
        <v>2156</v>
      </c>
      <c r="N22" s="4">
        <f t="shared" ref="N22:T22" si="35">+N19-N20+N21</f>
        <v>3536.6649999999986</v>
      </c>
      <c r="O22" s="4">
        <f t="shared" si="35"/>
        <v>4184.0125986082057</v>
      </c>
      <c r="P22" s="4">
        <f t="shared" si="35"/>
        <v>7144.1369294248616</v>
      </c>
      <c r="Q22" s="4">
        <f t="shared" si="35"/>
        <v>9655.9183200709558</v>
      </c>
      <c r="R22" s="4">
        <f t="shared" si="35"/>
        <v>12019.49812949433</v>
      </c>
      <c r="S22" s="4">
        <f t="shared" si="35"/>
        <v>14429.470670686593</v>
      </c>
      <c r="T22" s="4">
        <f t="shared" si="35"/>
        <v>17206.970783934641</v>
      </c>
      <c r="U22" s="8">
        <f>+T22*(1+$W$27)</f>
        <v>17551.110199613333</v>
      </c>
      <c r="V22" s="8">
        <f t="shared" ref="V22:BI22" si="36">+U22*(1+$W$27)</f>
        <v>17902.132403605599</v>
      </c>
      <c r="W22" s="8">
        <f t="shared" si="36"/>
        <v>18260.17505167771</v>
      </c>
      <c r="X22" s="8">
        <f t="shared" si="36"/>
        <v>18625.378552711263</v>
      </c>
      <c r="Y22" s="8">
        <f t="shared" si="36"/>
        <v>18997.886123765489</v>
      </c>
      <c r="Z22" s="8">
        <f t="shared" si="36"/>
        <v>19377.843846240798</v>
      </c>
      <c r="AA22" s="8">
        <f t="shared" si="36"/>
        <v>19765.400723165614</v>
      </c>
      <c r="AB22" s="8">
        <f t="shared" si="36"/>
        <v>20160.708737628927</v>
      </c>
      <c r="AC22" s="8">
        <f t="shared" si="36"/>
        <v>20563.922912381506</v>
      </c>
      <c r="AD22" s="8">
        <f t="shared" si="36"/>
        <v>20975.201370629136</v>
      </c>
      <c r="AE22" s="8">
        <f t="shared" si="36"/>
        <v>21394.705398041719</v>
      </c>
      <c r="AF22" s="8">
        <f t="shared" si="36"/>
        <v>21822.599506002553</v>
      </c>
      <c r="AG22" s="8">
        <f t="shared" si="36"/>
        <v>22259.051496122604</v>
      </c>
      <c r="AH22" s="8">
        <f t="shared" si="36"/>
        <v>22704.232526045056</v>
      </c>
      <c r="AI22" s="8">
        <f t="shared" si="36"/>
        <v>23158.317176565957</v>
      </c>
      <c r="AJ22" s="8">
        <f t="shared" si="36"/>
        <v>23621.483520097278</v>
      </c>
      <c r="AK22" s="8">
        <f t="shared" si="36"/>
        <v>24093.913190499225</v>
      </c>
      <c r="AL22" s="8">
        <f t="shared" si="36"/>
        <v>24575.791454309208</v>
      </c>
      <c r="AM22" s="8">
        <f t="shared" si="36"/>
        <v>25067.307283395392</v>
      </c>
      <c r="AN22" s="8">
        <f t="shared" si="36"/>
        <v>25568.653429063299</v>
      </c>
      <c r="AO22" s="8">
        <f t="shared" si="36"/>
        <v>26080.026497644565</v>
      </c>
      <c r="AP22" s="8">
        <f t="shared" si="36"/>
        <v>26601.627027597457</v>
      </c>
      <c r="AQ22" s="8">
        <f t="shared" si="36"/>
        <v>27133.659568149407</v>
      </c>
      <c r="AR22" s="8">
        <f t="shared" si="36"/>
        <v>27676.332759512396</v>
      </c>
      <c r="AS22" s="8">
        <f t="shared" si="36"/>
        <v>28229.859414702645</v>
      </c>
      <c r="AT22" s="8">
        <f t="shared" si="36"/>
        <v>28794.456602996699</v>
      </c>
      <c r="AU22" s="8">
        <f t="shared" si="36"/>
        <v>29370.345735056635</v>
      </c>
      <c r="AV22" s="8">
        <f t="shared" si="36"/>
        <v>29957.752649757767</v>
      </c>
      <c r="AW22" s="8">
        <f t="shared" si="36"/>
        <v>30556.907702752924</v>
      </c>
      <c r="AX22" s="8">
        <f t="shared" si="36"/>
        <v>31168.045856807981</v>
      </c>
      <c r="AY22" s="8">
        <f t="shared" si="36"/>
        <v>31791.406773944142</v>
      </c>
      <c r="AZ22" s="8">
        <f t="shared" si="36"/>
        <v>32427.234909423027</v>
      </c>
      <c r="BA22" s="8">
        <f t="shared" si="36"/>
        <v>33075.77960761149</v>
      </c>
      <c r="BB22" s="8">
        <f t="shared" si="36"/>
        <v>33737.295199763721</v>
      </c>
      <c r="BC22" s="8">
        <f t="shared" si="36"/>
        <v>34412.041103758995</v>
      </c>
      <c r="BD22" s="8">
        <f t="shared" si="36"/>
        <v>35100.281925834177</v>
      </c>
      <c r="BE22" s="8">
        <f t="shared" si="36"/>
        <v>35802.28756435086</v>
      </c>
      <c r="BF22" s="8">
        <f t="shared" si="36"/>
        <v>36518.333315637879</v>
      </c>
      <c r="BG22" s="8">
        <f t="shared" si="36"/>
        <v>37248.699981950638</v>
      </c>
      <c r="BH22" s="8">
        <f t="shared" si="36"/>
        <v>37993.673981589651</v>
      </c>
      <c r="BI22" s="8">
        <f t="shared" si="36"/>
        <v>38753.547461221446</v>
      </c>
    </row>
    <row r="23" spans="1:61" x14ac:dyDescent="0.25">
      <c r="A23" s="1" t="s">
        <v>22</v>
      </c>
      <c r="B23" s="3">
        <v>0</v>
      </c>
      <c r="C23" s="3">
        <v>0</v>
      </c>
      <c r="D23" s="3">
        <v>-2</v>
      </c>
      <c r="E23" s="3">
        <v>271</v>
      </c>
      <c r="F23" s="3">
        <v>-9</v>
      </c>
      <c r="G23" s="3">
        <v>-7</v>
      </c>
      <c r="H23" s="3">
        <v>-13</v>
      </c>
      <c r="I23" s="3">
        <v>18</v>
      </c>
      <c r="J23" s="3"/>
      <c r="K23" s="3">
        <v>-74</v>
      </c>
      <c r="L23" s="3">
        <v>3</v>
      </c>
      <c r="M23" s="3">
        <v>269</v>
      </c>
      <c r="N23" s="3">
        <v>100</v>
      </c>
      <c r="O23" s="3">
        <f>+N23*1.03</f>
        <v>103</v>
      </c>
      <c r="P23" s="3">
        <f t="shared" ref="P23:T23" si="37">+O23*1.03</f>
        <v>106.09</v>
      </c>
      <c r="Q23" s="3">
        <f t="shared" si="37"/>
        <v>109.2727</v>
      </c>
      <c r="R23" s="3">
        <f t="shared" si="37"/>
        <v>112.550881</v>
      </c>
      <c r="S23" s="3">
        <f t="shared" si="37"/>
        <v>115.92740743</v>
      </c>
      <c r="T23" s="3">
        <f t="shared" si="37"/>
        <v>119.4052296529</v>
      </c>
    </row>
    <row r="24" spans="1:61" x14ac:dyDescent="0.25">
      <c r="A24" s="1" t="s">
        <v>23</v>
      </c>
      <c r="B24" s="3">
        <f t="shared" ref="B24:E24" si="38">+B22-B23</f>
        <v>-157</v>
      </c>
      <c r="C24" s="3">
        <f t="shared" si="38"/>
        <v>394</v>
      </c>
      <c r="D24" s="3">
        <f t="shared" si="38"/>
        <v>221</v>
      </c>
      <c r="E24" s="3">
        <f t="shared" si="38"/>
        <v>1429</v>
      </c>
      <c r="F24" s="3">
        <f>+F22-F23</f>
        <v>-654</v>
      </c>
      <c r="G24" s="3">
        <f t="shared" ref="G24:H24" si="39">+G22-G23</f>
        <v>1015</v>
      </c>
      <c r="H24" s="3">
        <f t="shared" si="39"/>
        <v>2612</v>
      </c>
      <c r="I24" s="3">
        <f t="shared" ref="I24" si="40">+I22-I23</f>
        <v>6883</v>
      </c>
      <c r="J24" s="3"/>
      <c r="K24" s="3">
        <f>+K22-K23</f>
        <v>-496</v>
      </c>
      <c r="L24" s="3">
        <f t="shared" ref="L24:T24" si="41">+L22-L23</f>
        <v>-9141</v>
      </c>
      <c r="M24" s="3">
        <f t="shared" si="41"/>
        <v>1887</v>
      </c>
      <c r="N24" s="3">
        <f t="shared" si="41"/>
        <v>3436.6649999999986</v>
      </c>
      <c r="O24" s="3">
        <f t="shared" si="41"/>
        <v>4081.0125986082057</v>
      </c>
      <c r="P24" s="3">
        <f t="shared" si="41"/>
        <v>7038.0469294248614</v>
      </c>
      <c r="Q24" s="3">
        <f t="shared" si="41"/>
        <v>9546.6456200709563</v>
      </c>
      <c r="R24" s="3">
        <f t="shared" si="41"/>
        <v>11906.947248494331</v>
      </c>
      <c r="S24" s="3">
        <f t="shared" si="41"/>
        <v>14313.543263256593</v>
      </c>
      <c r="T24" s="3">
        <f t="shared" si="41"/>
        <v>17087.56555428174</v>
      </c>
    </row>
    <row r="25" spans="1:61" x14ac:dyDescent="0.25">
      <c r="A25" s="1" t="s">
        <v>24</v>
      </c>
      <c r="B25" s="1">
        <v>2009.557</v>
      </c>
      <c r="C25" s="1">
        <v>2079.2649999999999</v>
      </c>
      <c r="D25" s="1">
        <v>2108.4789999999998</v>
      </c>
      <c r="E25" s="1">
        <v>2121.9290000000001</v>
      </c>
      <c r="F25" s="1">
        <v>2080.1680000000001</v>
      </c>
      <c r="G25" s="1">
        <v>2150.0189999999998</v>
      </c>
      <c r="H25" s="1">
        <v>2154.4659999999999</v>
      </c>
      <c r="I25" s="1">
        <v>2141.4259999999999</v>
      </c>
      <c r="K25" s="1">
        <v>1895.519</v>
      </c>
      <c r="L25" s="1">
        <v>1974.9280000000001</v>
      </c>
      <c r="M25" s="1">
        <v>2091.7820000000002</v>
      </c>
      <c r="N25" s="1">
        <f>+M25*1.01</f>
        <v>2112.6998200000003</v>
      </c>
      <c r="O25" s="1">
        <f t="shared" ref="O25:T25" si="42">+N25*1.01</f>
        <v>2133.8268182000002</v>
      </c>
      <c r="P25" s="1">
        <f t="shared" si="42"/>
        <v>2155.165086382</v>
      </c>
      <c r="Q25" s="1">
        <f t="shared" si="42"/>
        <v>2176.7167372458202</v>
      </c>
      <c r="R25" s="1">
        <f t="shared" si="42"/>
        <v>2198.4839046182783</v>
      </c>
      <c r="S25" s="1">
        <f t="shared" si="42"/>
        <v>2220.4687436644613</v>
      </c>
      <c r="T25" s="1">
        <f t="shared" si="42"/>
        <v>2242.673431101106</v>
      </c>
    </row>
    <row r="26" spans="1:61" x14ac:dyDescent="0.25">
      <c r="A26" s="1" t="s">
        <v>25</v>
      </c>
      <c r="B26" s="5">
        <f t="shared" ref="B26:E26" si="43">+B24/B25</f>
        <v>-7.8126671699284972E-2</v>
      </c>
      <c r="C26" s="5">
        <f t="shared" si="43"/>
        <v>0.18949003614257923</v>
      </c>
      <c r="D26" s="5">
        <f t="shared" si="43"/>
        <v>0.10481489263113364</v>
      </c>
      <c r="E26" s="5">
        <f t="shared" si="43"/>
        <v>0.67344383341761194</v>
      </c>
      <c r="F26" s="5">
        <f>+F24/F25</f>
        <v>-0.31439768326404405</v>
      </c>
      <c r="G26" s="5">
        <f t="shared" ref="G26:H26" si="44">+G24/G25</f>
        <v>0.47208885130782569</v>
      </c>
      <c r="H26" s="5">
        <f t="shared" si="44"/>
        <v>1.2123653842761966</v>
      </c>
      <c r="I26" s="5">
        <f t="shared" ref="I26" si="45">+I24/I25</f>
        <v>3.2142133326110733</v>
      </c>
      <c r="K26" s="5">
        <f>+K24/K25</f>
        <v>-0.2616697590475221</v>
      </c>
      <c r="L26" s="5">
        <f t="shared" ref="L26:T26" si="46">+L24/L25</f>
        <v>-4.6285231664141682</v>
      </c>
      <c r="M26" s="5">
        <f t="shared" si="46"/>
        <v>0.9021016530403263</v>
      </c>
      <c r="N26" s="5">
        <f t="shared" si="46"/>
        <v>1.6266698030011657</v>
      </c>
      <c r="O26" s="5">
        <f t="shared" si="46"/>
        <v>1.9125322466659986</v>
      </c>
      <c r="P26" s="5">
        <f t="shared" si="46"/>
        <v>3.2656648782483928</v>
      </c>
      <c r="Q26" s="5">
        <f t="shared" si="46"/>
        <v>4.3858006219726322</v>
      </c>
      <c r="R26" s="5">
        <f t="shared" si="46"/>
        <v>5.4159810874584178</v>
      </c>
      <c r="S26" s="5">
        <f t="shared" si="46"/>
        <v>6.446180926480781</v>
      </c>
      <c r="T26" s="5">
        <f t="shared" si="46"/>
        <v>7.6192838945312253</v>
      </c>
      <c r="V26" s="1" t="s">
        <v>60</v>
      </c>
      <c r="W26" s="7">
        <v>0.08</v>
      </c>
    </row>
    <row r="27" spans="1:61" x14ac:dyDescent="0.25">
      <c r="V27" s="1" t="s">
        <v>61</v>
      </c>
      <c r="W27" s="7">
        <v>0.02</v>
      </c>
    </row>
    <row r="28" spans="1:61" x14ac:dyDescent="0.25">
      <c r="A28" s="1" t="s">
        <v>30</v>
      </c>
      <c r="F28" s="6">
        <f>+F8/B8-1</f>
        <v>0.14824889493369597</v>
      </c>
      <c r="G28" s="6">
        <f t="shared" ref="G28:H28" si="47">+G8/C8-1</f>
        <v>0.15926327193932832</v>
      </c>
      <c r="H28" s="6">
        <f t="shared" si="47"/>
        <v>0.20404649160568233</v>
      </c>
      <c r="I28" s="6">
        <f t="shared" ref="I28" si="48">+I8/E8-1</f>
        <v>0.20360305958132052</v>
      </c>
      <c r="L28" s="6">
        <f>L8/K8-1</f>
        <v>0.8262389000286452</v>
      </c>
      <c r="M28" s="6">
        <f t="shared" ref="M28" si="49">M8/L8-1</f>
        <v>0.16952661793769797</v>
      </c>
      <c r="N28" s="6">
        <f t="shared" ref="N28" si="50">N8/M8-1</f>
        <v>0.17963573938467325</v>
      </c>
      <c r="O28" s="6">
        <f t="shared" ref="O28" si="51">O8/N8-1</f>
        <v>0.14837416735663256</v>
      </c>
      <c r="P28" s="6">
        <f t="shared" ref="P28" si="52">P8/O8-1</f>
        <v>0.13300000000000001</v>
      </c>
      <c r="Q28" s="6">
        <f t="shared" ref="Q28" si="53">Q8/P8-1</f>
        <v>0.11240000000000006</v>
      </c>
      <c r="R28" s="6">
        <f t="shared" ref="R28" si="54">R8/Q8-1</f>
        <v>0.11240000000000028</v>
      </c>
      <c r="S28" s="6">
        <f t="shared" ref="S28" si="55">S8/R8-1</f>
        <v>0.11240000000000006</v>
      </c>
      <c r="T28" s="6">
        <f t="shared" ref="T28" si="56">T8/S8-1</f>
        <v>0.11240000000000006</v>
      </c>
      <c r="V28" s="1" t="s">
        <v>62</v>
      </c>
      <c r="W28" s="7">
        <v>0.04</v>
      </c>
    </row>
    <row r="29" spans="1:61" x14ac:dyDescent="0.25">
      <c r="A29" s="1" t="s">
        <v>36</v>
      </c>
      <c r="F29" s="6">
        <f>+F3/B3-1</f>
        <v>0.30092378752886839</v>
      </c>
      <c r="G29" s="6">
        <f t="shared" ref="G29:H29" si="57">+G3/C3-1</f>
        <v>0.25337147527584802</v>
      </c>
      <c r="H29" s="6">
        <f t="shared" si="57"/>
        <v>0.26385328337605984</v>
      </c>
      <c r="I29" s="6">
        <f t="shared" ref="I29:I31" si="58">+I3/E3-1</f>
        <v>0.24814881704894343</v>
      </c>
      <c r="L29" s="6">
        <f t="shared" ref="L29:M29" si="59">L3/K3-1</f>
        <v>1.0176902056666188</v>
      </c>
      <c r="M29" s="6">
        <f t="shared" si="59"/>
        <v>0.41364316772400023</v>
      </c>
      <c r="N29" s="6">
        <f t="shared" ref="N29:N31" si="60">N3/M3-1</f>
        <v>0.2649757966922146</v>
      </c>
      <c r="O29" s="6"/>
      <c r="P29" s="6"/>
      <c r="Q29" s="6"/>
      <c r="R29" s="6"/>
      <c r="S29" s="6"/>
      <c r="T29" s="6"/>
      <c r="V29" s="1" t="s">
        <v>63</v>
      </c>
      <c r="W29" s="11">
        <f>+NPV(W26,N22:BI22)+M46</f>
        <v>210746.55573882721</v>
      </c>
    </row>
    <row r="30" spans="1:61" x14ac:dyDescent="0.25">
      <c r="A30" s="1" t="s">
        <v>37</v>
      </c>
      <c r="F30" s="6">
        <f>+F4/B4-1</f>
        <v>3.9120594891690841E-2</v>
      </c>
      <c r="G30" s="6">
        <f t="shared" ref="G30:H30" si="61">+G4/C4-1</f>
        <v>7.7199869152764222E-2</v>
      </c>
      <c r="H30" s="6">
        <f t="shared" si="61"/>
        <v>0.18228279386712098</v>
      </c>
      <c r="I30" s="6">
        <f t="shared" si="58"/>
        <v>0.20968259057390193</v>
      </c>
      <c r="L30" s="6">
        <f t="shared" ref="L30:M30" si="62">L4/K4-1</f>
        <v>0.30363549390098066</v>
      </c>
      <c r="M30" s="6">
        <f t="shared" si="62"/>
        <v>0.11953031831942029</v>
      </c>
      <c r="N30" s="6">
        <f t="shared" si="60"/>
        <v>0.12667977712225498</v>
      </c>
      <c r="O30" s="6"/>
      <c r="P30" s="6"/>
      <c r="Q30" s="6"/>
      <c r="R30" s="6"/>
      <c r="S30" s="6"/>
      <c r="T30" s="6"/>
      <c r="V30" s="1" t="s">
        <v>64</v>
      </c>
      <c r="W30" s="9">
        <f>+W29/H25</f>
        <v>97.818464407805564</v>
      </c>
    </row>
    <row r="31" spans="1:61" x14ac:dyDescent="0.25">
      <c r="A31" s="1" t="s">
        <v>38</v>
      </c>
      <c r="F31" s="6">
        <f>+F5/B5-1</f>
        <v>-8.2857142857142851E-2</v>
      </c>
      <c r="G31" s="6">
        <f t="shared" ref="G31:H31" si="63">+G5/C5-1</f>
        <v>-4.691164972634887E-3</v>
      </c>
      <c r="H31" s="6">
        <f t="shared" si="63"/>
        <v>1.7884914463452528E-2</v>
      </c>
      <c r="I31" s="6">
        <f t="shared" si="58"/>
        <v>-3.90625E-3</v>
      </c>
      <c r="L31" s="6">
        <f t="shared" ref="L31:M31" si="64">L5/K5-1</f>
        <v>2.2584427767354596</v>
      </c>
      <c r="M31" s="6">
        <f t="shared" si="64"/>
        <v>-0.24499784079458764</v>
      </c>
      <c r="N31" s="6">
        <f t="shared" si="60"/>
        <v>-1.9828408007626308E-2</v>
      </c>
      <c r="O31" s="6"/>
      <c r="P31" s="6"/>
      <c r="Q31" s="6"/>
      <c r="R31" s="6"/>
      <c r="S31" s="6"/>
      <c r="T31" s="6"/>
    </row>
    <row r="32" spans="1:61" x14ac:dyDescent="0.25">
      <c r="R32" s="13"/>
    </row>
    <row r="33" spans="1:26" x14ac:dyDescent="0.25">
      <c r="A33" s="1" t="s">
        <v>31</v>
      </c>
      <c r="B33" s="6">
        <f t="shared" ref="B33:I33" si="65">+B16/B8</f>
        <v>-2.9695115040235746E-2</v>
      </c>
      <c r="C33" s="6">
        <f t="shared" si="65"/>
        <v>3.5319609967497292E-2</v>
      </c>
      <c r="D33" s="6">
        <f t="shared" si="65"/>
        <v>4.240206629358588E-2</v>
      </c>
      <c r="E33" s="6">
        <f t="shared" si="65"/>
        <v>6.5619967793880837E-2</v>
      </c>
      <c r="F33" s="6">
        <f t="shared" si="65"/>
        <v>1.6977593524824794E-2</v>
      </c>
      <c r="G33" s="6">
        <f t="shared" si="65"/>
        <v>7.4392523364485985E-2</v>
      </c>
      <c r="H33" s="6">
        <f t="shared" si="65"/>
        <v>9.4833750446907394E-2</v>
      </c>
      <c r="I33" s="6">
        <f t="shared" si="65"/>
        <v>6.4386654402542015E-2</v>
      </c>
      <c r="K33" s="6">
        <f t="shared" ref="K33:T33" si="66">K16/K8</f>
        <v>-0.2196505299341163</v>
      </c>
      <c r="L33" s="6">
        <f t="shared" si="66"/>
        <v>-5.7470903786429085E-2</v>
      </c>
      <c r="M33" s="6">
        <f t="shared" si="66"/>
        <v>2.9773879456023174E-2</v>
      </c>
      <c r="N33" s="6">
        <f t="shared" si="66"/>
        <v>6.0163036063486254E-2</v>
      </c>
      <c r="O33" s="6">
        <f t="shared" si="66"/>
        <v>9.1870938219469414E-2</v>
      </c>
      <c r="P33" s="6">
        <f t="shared" si="66"/>
        <v>0.13546269026115682</v>
      </c>
      <c r="Q33" s="6">
        <f t="shared" si="66"/>
        <v>0.16097377353687198</v>
      </c>
      <c r="R33" s="6">
        <f t="shared" si="66"/>
        <v>0.17620465887851558</v>
      </c>
      <c r="S33" s="6">
        <f t="shared" si="66"/>
        <v>0.18617074130764291</v>
      </c>
      <c r="T33" s="6">
        <f t="shared" si="66"/>
        <v>0.19588655585988821</v>
      </c>
    </row>
    <row r="35" spans="1:26" x14ac:dyDescent="0.25">
      <c r="A35" s="1" t="s">
        <v>44</v>
      </c>
      <c r="B35" s="3">
        <v>130</v>
      </c>
      <c r="C35" s="3">
        <v>137</v>
      </c>
      <c r="D35" s="3">
        <v>142</v>
      </c>
      <c r="E35" s="3">
        <v>150</v>
      </c>
      <c r="F35" s="3">
        <v>149</v>
      </c>
      <c r="G35" s="3">
        <v>156</v>
      </c>
      <c r="H35" s="3">
        <v>161</v>
      </c>
      <c r="I35" s="19">
        <v>171</v>
      </c>
      <c r="L35" s="1">
        <v>131</v>
      </c>
      <c r="M35" s="1">
        <v>150</v>
      </c>
      <c r="N35" s="3">
        <f>+M35*1.13</f>
        <v>169.49999999999997</v>
      </c>
      <c r="O35" s="3">
        <f>+N35*1.13</f>
        <v>191.53499999999994</v>
      </c>
      <c r="P35" s="3">
        <f>+O35*1.1</f>
        <v>210.68849999999995</v>
      </c>
      <c r="Q35" s="3">
        <f>+P35*1.08</f>
        <v>227.54357999999996</v>
      </c>
      <c r="R35" s="3">
        <f t="shared" ref="R35:T35" si="67">+Q35*1.08</f>
        <v>245.74706639999997</v>
      </c>
      <c r="S35" s="3">
        <f t="shared" si="67"/>
        <v>265.40683171199998</v>
      </c>
      <c r="T35" s="3">
        <f t="shared" si="67"/>
        <v>286.63937824895999</v>
      </c>
    </row>
    <row r="36" spans="1:26" x14ac:dyDescent="0.25">
      <c r="A36" s="1" t="s">
        <v>45</v>
      </c>
      <c r="B36" s="3">
        <v>2124</v>
      </c>
      <c r="C36" s="3">
        <v>2282</v>
      </c>
      <c r="D36" s="3">
        <v>2441</v>
      </c>
      <c r="E36" s="3">
        <v>2601</v>
      </c>
      <c r="F36" s="3">
        <v>2572</v>
      </c>
      <c r="G36" s="3">
        <v>2765</v>
      </c>
      <c r="H36" s="3">
        <v>2868</v>
      </c>
      <c r="I36" s="1">
        <v>3068</v>
      </c>
      <c r="L36" s="3">
        <v>7642</v>
      </c>
      <c r="M36" s="3">
        <v>9448</v>
      </c>
      <c r="N36" s="3"/>
      <c r="O36" s="3"/>
      <c r="P36" s="3"/>
      <c r="Q36" s="3"/>
      <c r="R36" s="3"/>
      <c r="S36" s="3"/>
      <c r="T36" s="3"/>
    </row>
    <row r="37" spans="1:26" x14ac:dyDescent="0.25">
      <c r="A37" s="1" t="s">
        <v>46</v>
      </c>
      <c r="B37" s="3">
        <v>31408</v>
      </c>
      <c r="C37" s="3">
        <v>33601</v>
      </c>
      <c r="D37" s="3">
        <v>35281</v>
      </c>
      <c r="E37" s="3">
        <v>37575</v>
      </c>
      <c r="F37" s="3">
        <v>37651</v>
      </c>
      <c r="G37" s="3">
        <v>39952</v>
      </c>
      <c r="H37" s="3">
        <v>40973</v>
      </c>
      <c r="I37" s="1">
        <v>44197</v>
      </c>
      <c r="L37" s="3">
        <v>115395</v>
      </c>
      <c r="M37" s="3">
        <v>137865</v>
      </c>
      <c r="N37" s="3"/>
      <c r="O37" s="3"/>
      <c r="P37" s="3"/>
      <c r="Q37" s="3"/>
      <c r="R37" s="3"/>
      <c r="S37" s="3"/>
      <c r="T37" s="3"/>
    </row>
    <row r="39" spans="1:26" x14ac:dyDescent="0.25">
      <c r="A39" s="1" t="s">
        <v>47</v>
      </c>
      <c r="B39" s="5">
        <f t="shared" ref="B39:I39" si="68">+B8/B35</f>
        <v>67.869230769230768</v>
      </c>
      <c r="C39" s="5">
        <f t="shared" si="68"/>
        <v>67.372262773722625</v>
      </c>
      <c r="D39" s="5">
        <f t="shared" si="68"/>
        <v>65.436619718309856</v>
      </c>
      <c r="E39" s="5">
        <f t="shared" si="68"/>
        <v>66.239999999999995</v>
      </c>
      <c r="F39" s="5">
        <f t="shared" si="68"/>
        <v>67.993288590604024</v>
      </c>
      <c r="G39" s="5">
        <f t="shared" si="68"/>
        <v>68.589743589743591</v>
      </c>
      <c r="H39" s="5">
        <f t="shared" si="68"/>
        <v>69.490683229813669</v>
      </c>
      <c r="I39" s="5">
        <f t="shared" si="68"/>
        <v>69.935672514619881</v>
      </c>
      <c r="L39" s="5">
        <f>+L8/L35</f>
        <v>243.33587786259542</v>
      </c>
      <c r="M39" s="5">
        <f>+M8/M35</f>
        <v>248.54</v>
      </c>
      <c r="N39" s="5">
        <f>+M39*1.03</f>
        <v>255.99619999999999</v>
      </c>
      <c r="O39" s="5">
        <f t="shared" ref="O39:T39" si="69">+N39*1.03</f>
        <v>263.676086</v>
      </c>
      <c r="P39" s="5">
        <f t="shared" si="69"/>
        <v>271.58636858</v>
      </c>
      <c r="Q39" s="5">
        <f t="shared" si="69"/>
        <v>279.73395963740001</v>
      </c>
      <c r="R39" s="5">
        <f t="shared" si="69"/>
        <v>288.12597842652201</v>
      </c>
      <c r="S39" s="5">
        <f t="shared" si="69"/>
        <v>296.76975777931767</v>
      </c>
      <c r="T39" s="5">
        <f t="shared" si="69"/>
        <v>305.67285051269721</v>
      </c>
    </row>
    <row r="40" spans="1:26" x14ac:dyDescent="0.25">
      <c r="O40" s="5">
        <f>+O39/4</f>
        <v>65.919021499999999</v>
      </c>
      <c r="P40" s="5">
        <f t="shared" ref="P40:T40" si="70">+P39/4</f>
        <v>67.896592145</v>
      </c>
      <c r="Q40" s="5">
        <f t="shared" si="70"/>
        <v>69.933489909350001</v>
      </c>
      <c r="R40" s="5">
        <f t="shared" si="70"/>
        <v>72.031494606630503</v>
      </c>
      <c r="S40" s="5">
        <f t="shared" si="70"/>
        <v>74.192439444829418</v>
      </c>
      <c r="T40" s="5">
        <f t="shared" si="70"/>
        <v>76.418212628174302</v>
      </c>
      <c r="Z40" s="7"/>
    </row>
    <row r="41" spans="1:26" x14ac:dyDescent="0.25">
      <c r="A41" s="1" t="s">
        <v>26</v>
      </c>
      <c r="B41" s="3">
        <v>606</v>
      </c>
      <c r="C41" s="3">
        <v>1190</v>
      </c>
      <c r="D41" s="3">
        <v>966</v>
      </c>
      <c r="E41" s="3">
        <v>823</v>
      </c>
      <c r="F41" s="3">
        <v>1416</v>
      </c>
      <c r="G41" s="3">
        <f>3236-F41</f>
        <v>1820</v>
      </c>
      <c r="H41" s="3">
        <v>2151</v>
      </c>
      <c r="I41" s="3">
        <v>1750</v>
      </c>
      <c r="J41" s="3"/>
      <c r="K41" s="3">
        <v>-445</v>
      </c>
      <c r="L41" s="3">
        <v>642</v>
      </c>
      <c r="M41" s="3">
        <v>3585</v>
      </c>
      <c r="N41" s="3"/>
      <c r="O41" s="3"/>
      <c r="P41" s="3"/>
      <c r="Q41" s="3"/>
      <c r="R41" s="3"/>
      <c r="S41" s="3"/>
      <c r="T41" s="3"/>
    </row>
    <row r="42" spans="1:26" x14ac:dyDescent="0.25">
      <c r="A42" s="1" t="s">
        <v>27</v>
      </c>
      <c r="B42" s="3">
        <v>57</v>
      </c>
      <c r="C42" s="3">
        <v>50</v>
      </c>
      <c r="D42" s="3">
        <v>61</v>
      </c>
      <c r="E42" s="3">
        <v>55</v>
      </c>
      <c r="F42" s="3">
        <v>57</v>
      </c>
      <c r="G42" s="3">
        <f>156-F42</f>
        <v>99</v>
      </c>
      <c r="H42" s="3">
        <v>42</v>
      </c>
      <c r="I42" s="3">
        <v>44</v>
      </c>
      <c r="J42" s="3"/>
      <c r="K42" s="3">
        <v>298</v>
      </c>
      <c r="L42" s="3">
        <v>252</v>
      </c>
      <c r="M42" s="3">
        <v>223</v>
      </c>
      <c r="N42" s="3"/>
      <c r="O42" s="3"/>
      <c r="P42" s="3"/>
      <c r="Q42" s="3"/>
      <c r="R42" s="3"/>
      <c r="S42" s="3"/>
      <c r="T42" s="3"/>
    </row>
    <row r="43" spans="1:26" x14ac:dyDescent="0.25">
      <c r="A43" s="1" t="s">
        <v>29</v>
      </c>
      <c r="B43" s="3">
        <v>470</v>
      </c>
      <c r="C43" s="3">
        <v>504</v>
      </c>
      <c r="D43" s="3">
        <v>492</v>
      </c>
      <c r="E43" s="3">
        <v>469</v>
      </c>
      <c r="F43" s="3">
        <v>484</v>
      </c>
      <c r="G43" s="3">
        <f>939-F43</f>
        <v>455</v>
      </c>
      <c r="H43" s="3">
        <v>438</v>
      </c>
      <c r="I43" s="3">
        <v>419</v>
      </c>
      <c r="J43" s="3"/>
      <c r="K43" s="3">
        <f>+K41-K42</f>
        <v>-743</v>
      </c>
      <c r="L43" s="3">
        <f t="shared" ref="L43:M43" si="71">+L41-L42</f>
        <v>390</v>
      </c>
      <c r="M43" s="3">
        <f t="shared" si="71"/>
        <v>3362</v>
      </c>
      <c r="N43" s="3"/>
      <c r="O43" s="3"/>
      <c r="P43" s="3"/>
      <c r="Q43" s="3"/>
      <c r="R43" s="3"/>
      <c r="S43" s="3"/>
      <c r="T43" s="3"/>
    </row>
    <row r="44" spans="1:26" x14ac:dyDescent="0.25">
      <c r="A44" s="1" t="s">
        <v>28</v>
      </c>
      <c r="B44" s="3">
        <f t="shared" ref="B44:G44" si="72">+B41-B42</f>
        <v>549</v>
      </c>
      <c r="C44" s="3">
        <f t="shared" si="72"/>
        <v>1140</v>
      </c>
      <c r="D44" s="3">
        <f t="shared" si="72"/>
        <v>905</v>
      </c>
      <c r="E44" s="3">
        <f t="shared" si="72"/>
        <v>768</v>
      </c>
      <c r="F44" s="3">
        <f t="shared" si="72"/>
        <v>1359</v>
      </c>
      <c r="G44" s="3">
        <f t="shared" si="72"/>
        <v>1721</v>
      </c>
      <c r="H44" s="3">
        <f>+H41-H42</f>
        <v>2109</v>
      </c>
      <c r="I44" s="3">
        <f t="shared" ref="I44" si="73">+I41-I42</f>
        <v>1706</v>
      </c>
      <c r="J44" s="3"/>
      <c r="K44" s="3">
        <v>1168</v>
      </c>
      <c r="L44" s="3">
        <v>1793</v>
      </c>
      <c r="M44" s="3">
        <v>1935</v>
      </c>
      <c r="N44" s="3">
        <v>1935</v>
      </c>
      <c r="O44" s="3">
        <v>1935</v>
      </c>
      <c r="P44" s="3">
        <v>1935</v>
      </c>
      <c r="Q44" s="3">
        <v>1935</v>
      </c>
      <c r="R44" s="3">
        <v>1935</v>
      </c>
      <c r="S44" s="3">
        <v>1935</v>
      </c>
      <c r="T44" s="3">
        <v>1935</v>
      </c>
    </row>
    <row r="45" spans="1:26" x14ac:dyDescent="0.25">
      <c r="H45" s="3">
        <f>+SUM(E44:H44)</f>
        <v>5957</v>
      </c>
    </row>
    <row r="46" spans="1:26" x14ac:dyDescent="0.25">
      <c r="A46" s="1" t="s">
        <v>53</v>
      </c>
      <c r="E46" s="1">
        <f>4680+727+805+1519+4779+6101+353-9459</f>
        <v>9505</v>
      </c>
      <c r="K46" s="3"/>
      <c r="L46" s="3"/>
      <c r="M46" s="3">
        <v>9505</v>
      </c>
      <c r="N46" s="3">
        <f>+M46+N22</f>
        <v>13041.664999999999</v>
      </c>
      <c r="O46" s="3">
        <f t="shared" ref="O46:T46" si="74">+N46+O22</f>
        <v>17225.677598608207</v>
      </c>
      <c r="P46" s="3">
        <f t="shared" si="74"/>
        <v>24369.814528033068</v>
      </c>
      <c r="Q46" s="3">
        <f t="shared" si="74"/>
        <v>34025.732848104024</v>
      </c>
      <c r="R46" s="3">
        <f t="shared" si="74"/>
        <v>46045.230977598352</v>
      </c>
      <c r="S46" s="3">
        <f t="shared" si="74"/>
        <v>60474.701648284943</v>
      </c>
      <c r="T46" s="3">
        <f t="shared" si="74"/>
        <v>77681.672432219581</v>
      </c>
    </row>
    <row r="48" spans="1:26" x14ac:dyDescent="0.25">
      <c r="A48" s="1" t="s">
        <v>59</v>
      </c>
      <c r="B48" s="7">
        <f>+B9/B8</f>
        <v>0.59605576334580079</v>
      </c>
      <c r="C48" s="7">
        <f t="shared" ref="C48:T48" si="75">+C9/C8</f>
        <v>0.59750812567713973</v>
      </c>
      <c r="D48" s="7">
        <f t="shared" si="75"/>
        <v>0.60546706844597509</v>
      </c>
      <c r="E48" s="7">
        <f t="shared" si="75"/>
        <v>0.60960144927536231</v>
      </c>
      <c r="F48" s="7">
        <f t="shared" si="75"/>
        <v>0.60882440035534502</v>
      </c>
      <c r="G48" s="7">
        <f t="shared" si="75"/>
        <v>0.60635514018691594</v>
      </c>
      <c r="H48" s="7">
        <f t="shared" si="75"/>
        <v>0.60430818734358238</v>
      </c>
      <c r="I48" s="7">
        <f t="shared" ref="I48" si="76">+I9/I8</f>
        <v>0.60490007525712852</v>
      </c>
      <c r="J48" s="7"/>
      <c r="K48" s="7">
        <f t="shared" si="75"/>
        <v>0.53572042394729302</v>
      </c>
      <c r="L48" s="7">
        <f t="shared" si="75"/>
        <v>0.61671424538068198</v>
      </c>
      <c r="M48" s="7">
        <f t="shared" si="75"/>
        <v>0.60237118103055176</v>
      </c>
      <c r="N48" s="7">
        <f t="shared" si="75"/>
        <v>0.60600754922916</v>
      </c>
      <c r="O48" s="7">
        <f t="shared" si="75"/>
        <v>0.6</v>
      </c>
      <c r="P48" s="7">
        <f t="shared" si="75"/>
        <v>0.57999999999999996</v>
      </c>
      <c r="Q48" s="7">
        <f t="shared" si="75"/>
        <v>0.57999999999999996</v>
      </c>
      <c r="R48" s="7">
        <f t="shared" si="75"/>
        <v>0.57999999999999996</v>
      </c>
      <c r="S48" s="7">
        <f t="shared" si="75"/>
        <v>0.57999999999999996</v>
      </c>
      <c r="T48" s="7">
        <f t="shared" si="75"/>
        <v>0.57999999999999996</v>
      </c>
    </row>
    <row r="49" spans="1:20" x14ac:dyDescent="0.25">
      <c r="A49" s="1" t="s">
        <v>56</v>
      </c>
      <c r="B49" s="7">
        <f>+B11/B$8</f>
        <v>0.14303524878159357</v>
      </c>
      <c r="C49" s="7">
        <f t="shared" ref="C49:H49" si="77">+C11/C$8</f>
        <v>0.13196099674972914</v>
      </c>
      <c r="D49" s="7">
        <f t="shared" si="77"/>
        <v>0.10126990959965562</v>
      </c>
      <c r="E49" s="7">
        <f t="shared" si="77"/>
        <v>9.4102254428341386E-2</v>
      </c>
      <c r="F49" s="7">
        <f t="shared" si="77"/>
        <v>9.0514263152699628E-2</v>
      </c>
      <c r="G49" s="7">
        <f t="shared" si="77"/>
        <v>0.10420560747663551</v>
      </c>
      <c r="H49" s="7">
        <f t="shared" si="77"/>
        <v>9.7962102252413294E-2</v>
      </c>
      <c r="I49" s="7">
        <f t="shared" ref="I49" si="78">+I11/I$8</f>
        <v>0.10109540931516013</v>
      </c>
      <c r="K49" s="7">
        <f t="shared" ref="K49:M49" si="79">+K11/K$8</f>
        <v>0.27436264680607275</v>
      </c>
      <c r="L49" s="7">
        <f t="shared" si="79"/>
        <v>0.1491984816638956</v>
      </c>
      <c r="M49" s="7">
        <f t="shared" si="79"/>
        <v>0.11684235937877203</v>
      </c>
      <c r="N49" s="7">
        <f t="shared" ref="N49:T49" si="80">+N11/N$8</f>
        <v>9.8617490563463556E-2</v>
      </c>
      <c r="O49" s="7">
        <f t="shared" si="80"/>
        <v>9.5000000000000001E-2</v>
      </c>
      <c r="P49" s="7">
        <f t="shared" si="80"/>
        <v>8.500000000000002E-2</v>
      </c>
      <c r="Q49" s="7">
        <f t="shared" si="80"/>
        <v>7.4999999999999997E-2</v>
      </c>
      <c r="R49" s="7">
        <f t="shared" si="80"/>
        <v>7.0000000000000007E-2</v>
      </c>
      <c r="S49" s="7">
        <f t="shared" si="80"/>
        <v>6.5000000000000002E-2</v>
      </c>
      <c r="T49" s="7">
        <f t="shared" si="80"/>
        <v>0.06</v>
      </c>
    </row>
    <row r="50" spans="1:20" x14ac:dyDescent="0.25">
      <c r="A50" s="1" t="s">
        <v>57</v>
      </c>
      <c r="B50" s="7">
        <f t="shared" ref="B50:H50" si="81">+B12/B$8</f>
        <v>8.7838603649552302E-2</v>
      </c>
      <c r="C50" s="7">
        <f t="shared" si="81"/>
        <v>8.7540628385698802E-2</v>
      </c>
      <c r="D50" s="7">
        <f t="shared" si="81"/>
        <v>8.5772707705553161E-2</v>
      </c>
      <c r="E50" s="7">
        <f t="shared" si="81"/>
        <v>7.8904991948470213E-2</v>
      </c>
      <c r="F50" s="7">
        <f t="shared" si="81"/>
        <v>7.7978481887276671E-2</v>
      </c>
      <c r="G50" s="7">
        <f t="shared" si="81"/>
        <v>7.1028037383177575E-2</v>
      </c>
      <c r="H50" s="7">
        <f t="shared" si="81"/>
        <v>6.9181265641759027E-2</v>
      </c>
      <c r="I50" s="7">
        <f t="shared" ref="I50" si="82">+I12/I$8</f>
        <v>6.5640939877916207E-2</v>
      </c>
      <c r="K50" s="7">
        <f t="shared" ref="K50:M50" si="83">+K12/K$8</f>
        <v>0.11767401890575767</v>
      </c>
      <c r="L50" s="7">
        <f t="shared" si="83"/>
        <v>8.7774884713116036E-2</v>
      </c>
      <c r="M50" s="7">
        <f t="shared" si="83"/>
        <v>8.4868968107078668E-2</v>
      </c>
      <c r="N50" s="7">
        <f t="shared" ref="N50:T50" si="84">+N12/N$8</f>
        <v>7.0694438128154985E-2</v>
      </c>
      <c r="O50" s="7">
        <f t="shared" si="84"/>
        <v>0.06</v>
      </c>
      <c r="P50" s="7">
        <f t="shared" si="84"/>
        <v>5.5E-2</v>
      </c>
      <c r="Q50" s="7">
        <f t="shared" si="84"/>
        <v>4.4999999999999998E-2</v>
      </c>
      <c r="R50" s="7">
        <f t="shared" si="84"/>
        <v>0.04</v>
      </c>
      <c r="S50" s="7">
        <f t="shared" si="84"/>
        <v>0.04</v>
      </c>
      <c r="T50" s="7">
        <f t="shared" si="84"/>
        <v>0.04</v>
      </c>
    </row>
    <row r="51" spans="1:20" x14ac:dyDescent="0.25">
      <c r="A51" s="1" t="s">
        <v>58</v>
      </c>
      <c r="B51" s="7">
        <f t="shared" ref="B51:H51" si="85">+B13/B$8</f>
        <v>0.10676640598435906</v>
      </c>
      <c r="C51" s="7">
        <f t="shared" si="85"/>
        <v>5.3196099674972915E-2</v>
      </c>
      <c r="D51" s="7">
        <f t="shared" si="85"/>
        <v>6.9522169608265169E-2</v>
      </c>
      <c r="E51" s="7">
        <f t="shared" si="85"/>
        <v>6.0688405797101448E-2</v>
      </c>
      <c r="F51" s="7">
        <f t="shared" si="85"/>
        <v>0.11933668936926266</v>
      </c>
      <c r="G51" s="7">
        <f t="shared" si="85"/>
        <v>6.4112149532710286E-2</v>
      </c>
      <c r="H51" s="7">
        <f t="shared" si="85"/>
        <v>5.6310332499106185E-2</v>
      </c>
      <c r="I51" s="7">
        <f t="shared" ref="I51" si="86">+I13/I$8</f>
        <v>9.3151601304456891E-2</v>
      </c>
      <c r="K51" s="7">
        <f t="shared" ref="K51:M51" si="87">+K13/K$8</f>
        <v>0.13268404468633629</v>
      </c>
      <c r="L51" s="7">
        <f t="shared" si="87"/>
        <v>9.8378140979389531E-2</v>
      </c>
      <c r="M51" s="7">
        <f t="shared" si="87"/>
        <v>7.1940130361310056E-2</v>
      </c>
      <c r="N51" s="7">
        <f t="shared" ref="N51:T51" si="88">+N13/N$8</f>
        <v>8.2745918413752326E-2</v>
      </c>
      <c r="O51" s="7">
        <f t="shared" si="88"/>
        <v>7.5657583394122097E-2</v>
      </c>
      <c r="P51" s="7">
        <f t="shared" si="88"/>
        <v>7.0115147893934873E-2</v>
      </c>
      <c r="Q51" s="7">
        <f t="shared" si="88"/>
        <v>6.6182043589204959E-2</v>
      </c>
      <c r="R51" s="7">
        <f t="shared" si="88"/>
        <v>6.2469566494664876E-2</v>
      </c>
      <c r="S51" s="7">
        <f t="shared" si="88"/>
        <v>5.8965340542429093E-2</v>
      </c>
      <c r="T51" s="7">
        <f t="shared" si="88"/>
        <v>5.5657683899272337E-2</v>
      </c>
    </row>
    <row r="54" spans="1:20" x14ac:dyDescent="0.25">
      <c r="H54" s="1">
        <f>1/0.04</f>
        <v>25</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6D978-5C6E-4A24-83E9-551CA4864B9A}">
  <dimension ref="A1:G18"/>
  <sheetViews>
    <sheetView workbookViewId="0">
      <pane xSplit="1" ySplit="1" topLeftCell="D2" activePane="bottomRight" state="frozen"/>
      <selection pane="topRight" activeCell="B1" sqref="B1"/>
      <selection pane="bottomLeft" activeCell="A2" sqref="A2"/>
      <selection pane="bottomRight" activeCell="G2" sqref="G2"/>
    </sheetView>
  </sheetViews>
  <sheetFormatPr defaultRowHeight="14.4" x14ac:dyDescent="0.3"/>
  <cols>
    <col min="1" max="1" width="13.5546875" bestFit="1" customWidth="1"/>
    <col min="2" max="2" width="24.88671875" bestFit="1" customWidth="1"/>
    <col min="3" max="3" width="37" bestFit="1" customWidth="1"/>
    <col min="4" max="4" width="25.44140625" bestFit="1" customWidth="1"/>
    <col min="5" max="5" width="12.5546875" bestFit="1" customWidth="1"/>
  </cols>
  <sheetData>
    <row r="1" spans="1:7" x14ac:dyDescent="0.3">
      <c r="A1" s="14" t="s">
        <v>97</v>
      </c>
      <c r="B1" s="14" t="s">
        <v>96</v>
      </c>
      <c r="C1" s="14" t="s">
        <v>98</v>
      </c>
      <c r="D1" s="14" t="s">
        <v>99</v>
      </c>
      <c r="E1" s="15" t="s">
        <v>100</v>
      </c>
      <c r="F1" s="15" t="s">
        <v>101</v>
      </c>
    </row>
    <row r="2" spans="1:7" x14ac:dyDescent="0.3">
      <c r="A2" t="s">
        <v>95</v>
      </c>
      <c r="B2" t="s">
        <v>94</v>
      </c>
      <c r="C2">
        <v>93</v>
      </c>
      <c r="D2">
        <v>345.4</v>
      </c>
      <c r="E2" s="16">
        <f>+C2/D2</f>
        <v>0.26925303995367689</v>
      </c>
      <c r="F2">
        <v>355.6</v>
      </c>
      <c r="G2" s="18">
        <f>+F2*E2*1.2</f>
        <v>114.895657209033</v>
      </c>
    </row>
    <row r="3" spans="1:7" x14ac:dyDescent="0.3">
      <c r="A3" t="s">
        <v>93</v>
      </c>
      <c r="B3" t="s">
        <v>92</v>
      </c>
      <c r="C3">
        <v>30</v>
      </c>
      <c r="D3">
        <v>1450.9</v>
      </c>
      <c r="E3" s="16">
        <f t="shared" ref="E3:E16" si="0">+C3/D3</f>
        <v>2.0676821283341373E-2</v>
      </c>
      <c r="F3">
        <v>1525.1</v>
      </c>
      <c r="G3" s="18">
        <f t="shared" ref="G3:G16" si="1">+F3*E3*1.2</f>
        <v>37.841064167068708</v>
      </c>
    </row>
    <row r="4" spans="1:7" x14ac:dyDescent="0.3">
      <c r="A4" t="s">
        <v>91</v>
      </c>
      <c r="B4" t="s">
        <v>90</v>
      </c>
      <c r="C4">
        <v>25</v>
      </c>
      <c r="D4">
        <v>220.1</v>
      </c>
      <c r="E4" s="16">
        <f t="shared" si="0"/>
        <v>0.11358473421172195</v>
      </c>
      <c r="F4">
        <v>225</v>
      </c>
      <c r="G4" s="18">
        <f t="shared" si="1"/>
        <v>30.667878237164928</v>
      </c>
    </row>
    <row r="5" spans="1:7" x14ac:dyDescent="0.3">
      <c r="A5" t="s">
        <v>89</v>
      </c>
      <c r="B5" t="s">
        <v>88</v>
      </c>
      <c r="C5">
        <v>10</v>
      </c>
      <c r="D5">
        <v>67.3</v>
      </c>
      <c r="E5" s="16">
        <f t="shared" si="0"/>
        <v>0.14858841010401189</v>
      </c>
      <c r="F5">
        <v>69</v>
      </c>
      <c r="G5" s="18">
        <f t="shared" si="1"/>
        <v>12.303120356612183</v>
      </c>
    </row>
    <row r="6" spans="1:7" x14ac:dyDescent="0.3">
      <c r="A6" t="s">
        <v>87</v>
      </c>
      <c r="B6" t="s">
        <v>86</v>
      </c>
      <c r="C6">
        <v>8</v>
      </c>
      <c r="D6">
        <v>26.4</v>
      </c>
      <c r="E6" s="16">
        <f t="shared" si="0"/>
        <v>0.30303030303030304</v>
      </c>
      <c r="F6">
        <v>28</v>
      </c>
      <c r="G6" s="18">
        <f t="shared" si="1"/>
        <v>10.181818181818182</v>
      </c>
    </row>
    <row r="7" spans="1:7" x14ac:dyDescent="0.3">
      <c r="A7" t="s">
        <v>85</v>
      </c>
      <c r="B7" t="s">
        <v>84</v>
      </c>
      <c r="C7">
        <v>10</v>
      </c>
      <c r="D7">
        <v>130.9</v>
      </c>
      <c r="E7" s="16">
        <f t="shared" si="0"/>
        <v>7.6394194041252861E-2</v>
      </c>
      <c r="F7">
        <v>136</v>
      </c>
      <c r="G7" s="18">
        <f t="shared" si="1"/>
        <v>12.467532467532466</v>
      </c>
    </row>
    <row r="8" spans="1:7" x14ac:dyDescent="0.3">
      <c r="A8" t="s">
        <v>83</v>
      </c>
      <c r="B8" t="s">
        <v>82</v>
      </c>
      <c r="C8">
        <v>7</v>
      </c>
      <c r="D8">
        <v>64.599999999999994</v>
      </c>
      <c r="E8" s="16">
        <f t="shared" si="0"/>
        <v>0.108359133126935</v>
      </c>
      <c r="F8">
        <v>65</v>
      </c>
      <c r="G8" s="18">
        <f t="shared" si="1"/>
        <v>8.4520123839009305</v>
      </c>
    </row>
    <row r="9" spans="1:7" x14ac:dyDescent="0.3">
      <c r="A9" t="s">
        <v>81</v>
      </c>
      <c r="B9" t="s">
        <v>80</v>
      </c>
      <c r="C9">
        <v>6</v>
      </c>
      <c r="D9">
        <v>83.2</v>
      </c>
      <c r="E9" s="16">
        <f t="shared" si="0"/>
        <v>7.2115384615384609E-2</v>
      </c>
      <c r="F9">
        <v>82</v>
      </c>
      <c r="G9" s="18">
        <f t="shared" si="1"/>
        <v>7.0961538461538458</v>
      </c>
    </row>
    <row r="10" spans="1:7" x14ac:dyDescent="0.3">
      <c r="A10" t="s">
        <v>79</v>
      </c>
      <c r="B10" t="s">
        <v>78</v>
      </c>
      <c r="C10">
        <v>6</v>
      </c>
      <c r="D10">
        <v>38.5</v>
      </c>
      <c r="E10" s="16">
        <f t="shared" si="0"/>
        <v>0.15584415584415584</v>
      </c>
      <c r="F10">
        <v>41</v>
      </c>
      <c r="G10" s="18">
        <f t="shared" si="1"/>
        <v>7.6675324675324674</v>
      </c>
    </row>
    <row r="11" spans="1:7" x14ac:dyDescent="0.3">
      <c r="A11" t="s">
        <v>77</v>
      </c>
      <c r="B11" t="s">
        <v>76</v>
      </c>
      <c r="C11">
        <v>50</v>
      </c>
      <c r="D11">
        <v>1419.3</v>
      </c>
      <c r="E11" s="16">
        <f t="shared" si="0"/>
        <v>3.5228633833579936E-2</v>
      </c>
      <c r="F11">
        <v>1398.2</v>
      </c>
      <c r="G11" s="18">
        <f t="shared" si="1"/>
        <v>59.108010991333757</v>
      </c>
    </row>
    <row r="12" spans="1:7" x14ac:dyDescent="0.3">
      <c r="A12" t="s">
        <v>75</v>
      </c>
      <c r="B12" t="s">
        <v>74</v>
      </c>
      <c r="C12">
        <v>7</v>
      </c>
      <c r="D12">
        <v>144.80000000000001</v>
      </c>
      <c r="E12" s="16">
        <f t="shared" si="0"/>
        <v>4.8342541436464083E-2</v>
      </c>
      <c r="F12">
        <v>141</v>
      </c>
      <c r="G12" s="18">
        <f t="shared" si="1"/>
        <v>8.179558011049723</v>
      </c>
    </row>
    <row r="13" spans="1:7" x14ac:dyDescent="0.3">
      <c r="A13" t="s">
        <v>73</v>
      </c>
      <c r="B13" t="s">
        <v>72</v>
      </c>
      <c r="C13">
        <v>4</v>
      </c>
      <c r="D13">
        <v>60.1</v>
      </c>
      <c r="E13" s="16">
        <f t="shared" si="0"/>
        <v>6.6555740432612309E-2</v>
      </c>
      <c r="F13">
        <v>64</v>
      </c>
      <c r="G13" s="18">
        <f t="shared" si="1"/>
        <v>5.1114808652246255</v>
      </c>
    </row>
    <row r="14" spans="1:7" x14ac:dyDescent="0.3">
      <c r="A14" t="s">
        <v>71</v>
      </c>
      <c r="B14" t="s">
        <v>70</v>
      </c>
      <c r="C14">
        <v>20</v>
      </c>
      <c r="D14">
        <v>283.5</v>
      </c>
      <c r="E14" s="16">
        <f t="shared" si="0"/>
        <v>7.0546737213403876E-2</v>
      </c>
      <c r="F14">
        <v>295.89999999999998</v>
      </c>
      <c r="G14" s="18">
        <f t="shared" si="1"/>
        <v>25.049735449735447</v>
      </c>
    </row>
    <row r="15" spans="1:7" x14ac:dyDescent="0.3">
      <c r="A15" t="s">
        <v>69</v>
      </c>
      <c r="B15" t="s">
        <v>68</v>
      </c>
      <c r="C15">
        <v>2</v>
      </c>
      <c r="D15">
        <v>5.9</v>
      </c>
      <c r="E15" s="16">
        <f t="shared" si="0"/>
        <v>0.33898305084745761</v>
      </c>
      <c r="F15">
        <v>6.3</v>
      </c>
      <c r="G15" s="18">
        <f t="shared" si="1"/>
        <v>2.5627118644067792</v>
      </c>
    </row>
    <row r="16" spans="1:7" x14ac:dyDescent="0.3">
      <c r="A16" t="s">
        <v>67</v>
      </c>
      <c r="B16" t="s">
        <v>66</v>
      </c>
      <c r="C16">
        <v>2</v>
      </c>
      <c r="D16">
        <v>123.7</v>
      </c>
      <c r="E16" s="16">
        <f t="shared" si="0"/>
        <v>1.6168148746968473E-2</v>
      </c>
      <c r="F16">
        <v>120</v>
      </c>
      <c r="G16" s="18">
        <f t="shared" si="1"/>
        <v>2.3282134195634598</v>
      </c>
    </row>
    <row r="18" spans="1:7" x14ac:dyDescent="0.3">
      <c r="A18" t="s">
        <v>102</v>
      </c>
      <c r="C18">
        <f>+SUM(C2:C16)</f>
        <v>280</v>
      </c>
      <c r="G18" s="17">
        <f>+SUM(G2:G16)</f>
        <v>343.91247991813049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6FB4-E53C-4F29-B6EE-80DCF29E82D5}">
  <dimension ref="A1"/>
  <sheetViews>
    <sheetView workbookViewId="0">
      <selection activeCell="D12" sqref="D12"/>
    </sheetView>
  </sheetViews>
  <sheetFormatPr defaultColWidth="9.109375" defaultRowHeight="13.2" x14ac:dyDescent="0.25"/>
  <cols>
    <col min="1" max="16384" width="9.109375"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users</vt:lpstr>
      <vt:lpstr>tesla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2024-04-01T13:51:25Z</dcterms:created>
  <dcterms:modified xsi:type="dcterms:W3CDTF">2025-02-07T09:04:34Z</dcterms:modified>
</cp:coreProperties>
</file>