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338" documentId="8_{905B46D9-E3B4-4CE3-8B9F-38BF7B3676C7}" xr6:coauthVersionLast="47" xr6:coauthVersionMax="47" xr10:uidLastSave="{A8D9D00B-E285-4D31-94A7-6E43D34B437A}"/>
  <bookViews>
    <workbookView xWindow="-108" yWindow="-108" windowWidth="23256" windowHeight="12456" activeTab="1" xr2:uid="{666F2575-AADD-42EC-832A-D0EF09F7388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 i="2" l="1"/>
  <c r="T9" i="2"/>
  <c r="S9" i="2"/>
  <c r="R9" i="2"/>
  <c r="Q9" i="2"/>
  <c r="P9" i="2"/>
  <c r="O9" i="2"/>
  <c r="N9" i="2"/>
  <c r="M26" i="2"/>
  <c r="L26" i="2"/>
  <c r="K26" i="2"/>
  <c r="H26" i="2"/>
  <c r="G26" i="2"/>
  <c r="F26" i="2"/>
  <c r="E26" i="2"/>
  <c r="D26" i="2"/>
  <c r="C26" i="2"/>
  <c r="B26" i="2"/>
  <c r="N37" i="2"/>
  <c r="M37" i="2"/>
  <c r="L37" i="2"/>
  <c r="H37" i="2"/>
  <c r="G37" i="2"/>
  <c r="F37" i="2"/>
  <c r="E37" i="2"/>
  <c r="D37" i="2"/>
  <c r="C37" i="2"/>
  <c r="N21" i="2"/>
  <c r="O21" i="2" s="1"/>
  <c r="P21" i="2" s="1"/>
  <c r="Q21" i="2" s="1"/>
  <c r="R21" i="2" s="1"/>
  <c r="S21" i="2" s="1"/>
  <c r="T21" i="2" s="1"/>
  <c r="U21" i="2" s="1"/>
  <c r="N15" i="2"/>
  <c r="O15" i="2" s="1"/>
  <c r="P15" i="2" s="1"/>
  <c r="Q15" i="2" s="1"/>
  <c r="R15" i="2" s="1"/>
  <c r="S15" i="2" s="1"/>
  <c r="T15" i="2" s="1"/>
  <c r="U15" i="2" s="1"/>
  <c r="N12" i="2"/>
  <c r="O12" i="2" s="1"/>
  <c r="P12" i="2" s="1"/>
  <c r="Q12" i="2" s="1"/>
  <c r="R12" i="2" s="1"/>
  <c r="S12" i="2" s="1"/>
  <c r="T12" i="2" s="1"/>
  <c r="U12" i="2" s="1"/>
  <c r="N11" i="2"/>
  <c r="O11" i="2" s="1"/>
  <c r="P11" i="2" s="1"/>
  <c r="Q11" i="2" s="1"/>
  <c r="R11" i="2" s="1"/>
  <c r="S11" i="2" s="1"/>
  <c r="T11" i="2" s="1"/>
  <c r="U11" i="2" s="1"/>
  <c r="N10" i="2"/>
  <c r="O10" i="2" s="1"/>
  <c r="P10" i="2" s="1"/>
  <c r="Q10" i="2" s="1"/>
  <c r="O7" i="2"/>
  <c r="P7" i="2" s="1"/>
  <c r="Q7" i="2" s="1"/>
  <c r="R7" i="2" s="1"/>
  <c r="S7" i="2" s="1"/>
  <c r="T7" i="2" s="1"/>
  <c r="U7" i="2" s="1"/>
  <c r="N7" i="2"/>
  <c r="N5" i="2"/>
  <c r="O5" i="2" s="1"/>
  <c r="P5" i="2" s="1"/>
  <c r="Q5" i="2" s="1"/>
  <c r="R5" i="2" s="1"/>
  <c r="S5" i="2" s="1"/>
  <c r="T5" i="2" s="1"/>
  <c r="U5" i="2" s="1"/>
  <c r="N4" i="2"/>
  <c r="O4" i="2" s="1"/>
  <c r="P4" i="2" s="1"/>
  <c r="N36" i="2"/>
  <c r="U32" i="2"/>
  <c r="U34" i="2" s="1"/>
  <c r="T32" i="2"/>
  <c r="T34" i="2" s="1"/>
  <c r="M38" i="2"/>
  <c r="M39" i="2" s="1"/>
  <c r="L38" i="2"/>
  <c r="K38" i="2"/>
  <c r="L39" i="2" s="1"/>
  <c r="M28" i="2"/>
  <c r="L28" i="2"/>
  <c r="L2" i="2"/>
  <c r="M2" i="2" s="1"/>
  <c r="N2" i="2" s="1"/>
  <c r="O2" i="2" s="1"/>
  <c r="P2" i="2" s="1"/>
  <c r="Q2" i="2" s="1"/>
  <c r="R2" i="2" s="1"/>
  <c r="S2" i="2" s="1"/>
  <c r="T2" i="2" s="1"/>
  <c r="U2" i="2" s="1"/>
  <c r="S32" i="2"/>
  <c r="S34" i="2" s="1"/>
  <c r="R32" i="2"/>
  <c r="R34" i="2" s="1"/>
  <c r="Q32" i="2"/>
  <c r="Q34" i="2" s="1"/>
  <c r="P32" i="2"/>
  <c r="P34" i="2" s="1"/>
  <c r="O32" i="2"/>
  <c r="O34" i="2" s="1"/>
  <c r="N32" i="2"/>
  <c r="N34" i="2" s="1"/>
  <c r="M32" i="2"/>
  <c r="M34" i="2" s="1"/>
  <c r="M25" i="2"/>
  <c r="M13" i="2"/>
  <c r="M6" i="2"/>
  <c r="M8" i="2" s="1"/>
  <c r="L32" i="2"/>
  <c r="L34" i="2" s="1"/>
  <c r="L25" i="2"/>
  <c r="L13" i="2"/>
  <c r="L6" i="2"/>
  <c r="L8" i="2" s="1"/>
  <c r="K32" i="2"/>
  <c r="K34" i="2" s="1"/>
  <c r="K25" i="2"/>
  <c r="K13" i="2"/>
  <c r="K6" i="2"/>
  <c r="K8" i="2" s="1"/>
  <c r="F28" i="2"/>
  <c r="C38" i="2"/>
  <c r="C39" i="2" s="1"/>
  <c r="B38" i="2"/>
  <c r="H38" i="2"/>
  <c r="H39" i="2" s="1"/>
  <c r="G38" i="2"/>
  <c r="F38" i="2"/>
  <c r="F39" i="2" s="1"/>
  <c r="E38" i="2"/>
  <c r="D38" i="2"/>
  <c r="D39" i="2" s="1"/>
  <c r="H34" i="2"/>
  <c r="G32" i="2"/>
  <c r="G34" i="2" s="1"/>
  <c r="F32" i="2"/>
  <c r="F34" i="2" s="1"/>
  <c r="E32" i="2"/>
  <c r="E34" i="2" s="1"/>
  <c r="D32" i="2"/>
  <c r="D34" i="2" s="1"/>
  <c r="C32" i="2"/>
  <c r="C34" i="2" s="1"/>
  <c r="B32" i="2"/>
  <c r="B34" i="2" s="1"/>
  <c r="H32" i="2"/>
  <c r="D28" i="2"/>
  <c r="H28" i="2"/>
  <c r="X6" i="2" s="1"/>
  <c r="D25" i="2"/>
  <c r="G25" i="2"/>
  <c r="F25" i="2"/>
  <c r="E25" i="2"/>
  <c r="C25" i="2"/>
  <c r="B25" i="2"/>
  <c r="H25" i="2"/>
  <c r="C13" i="2"/>
  <c r="B13" i="2"/>
  <c r="H13" i="2"/>
  <c r="G13" i="2"/>
  <c r="F13" i="2"/>
  <c r="E13" i="2"/>
  <c r="D13" i="2"/>
  <c r="G6" i="2"/>
  <c r="F6" i="2"/>
  <c r="E6" i="2"/>
  <c r="E8" i="2" s="1"/>
  <c r="D6" i="2"/>
  <c r="D8" i="2" s="1"/>
  <c r="C6" i="2"/>
  <c r="C8" i="2" s="1"/>
  <c r="B6" i="2"/>
  <c r="B8" i="2" s="1"/>
  <c r="H6" i="2"/>
  <c r="H8" i="2" s="1"/>
  <c r="C14" i="1"/>
  <c r="B14" i="1"/>
  <c r="E39" i="2" l="1"/>
  <c r="G39" i="2"/>
  <c r="E14" i="2"/>
  <c r="E16" i="2" s="1"/>
  <c r="E18" i="2" s="1"/>
  <c r="E20" i="2" s="1"/>
  <c r="E22" i="2" s="1"/>
  <c r="D14" i="2"/>
  <c r="D16" i="2" s="1"/>
  <c r="D18" i="2" s="1"/>
  <c r="D20" i="2" s="1"/>
  <c r="D22" i="2" s="1"/>
  <c r="H24" i="2"/>
  <c r="H14" i="2"/>
  <c r="H16" i="2" s="1"/>
  <c r="H18" i="2" s="1"/>
  <c r="H20" i="2" s="1"/>
  <c r="H22" i="2" s="1"/>
  <c r="O36" i="2"/>
  <c r="O37" i="2" s="1"/>
  <c r="N38" i="2"/>
  <c r="R10" i="2"/>
  <c r="Q4" i="2"/>
  <c r="M14" i="2"/>
  <c r="M16" i="2" s="1"/>
  <c r="M18" i="2" s="1"/>
  <c r="M20" i="2" s="1"/>
  <c r="M22" i="2" s="1"/>
  <c r="L14" i="2"/>
  <c r="L16" i="2" s="1"/>
  <c r="L18" i="2" s="1"/>
  <c r="L20" i="2" s="1"/>
  <c r="L22" i="2" s="1"/>
  <c r="K14" i="2"/>
  <c r="K16" i="2" s="1"/>
  <c r="K18" i="2" s="1"/>
  <c r="K20" i="2" s="1"/>
  <c r="K22" i="2" s="1"/>
  <c r="M24" i="2"/>
  <c r="L24" i="2"/>
  <c r="K24" i="2"/>
  <c r="B14" i="2"/>
  <c r="B16" i="2" s="1"/>
  <c r="B18" i="2" s="1"/>
  <c r="B20" i="2" s="1"/>
  <c r="B22" i="2" s="1"/>
  <c r="F24" i="2"/>
  <c r="F8" i="2"/>
  <c r="F14" i="2" s="1"/>
  <c r="F16" i="2" s="1"/>
  <c r="F18" i="2" s="1"/>
  <c r="F20" i="2" s="1"/>
  <c r="F22" i="2" s="1"/>
  <c r="C14" i="2"/>
  <c r="C16" i="2" s="1"/>
  <c r="C18" i="2" s="1"/>
  <c r="C20" i="2" s="1"/>
  <c r="C22" i="2" s="1"/>
  <c r="G24" i="2"/>
  <c r="G8" i="2"/>
  <c r="G14" i="2" s="1"/>
  <c r="G16" i="2" s="1"/>
  <c r="G18" i="2" s="1"/>
  <c r="G20" i="2" s="1"/>
  <c r="G22" i="2" s="1"/>
  <c r="O38" i="2" l="1"/>
  <c r="O3" i="2" s="1"/>
  <c r="N39" i="2"/>
  <c r="P36" i="2"/>
  <c r="P37" i="2" s="1"/>
  <c r="N3" i="2"/>
  <c r="S10" i="2"/>
  <c r="R4" i="2"/>
  <c r="O13" i="2" l="1"/>
  <c r="O6" i="2"/>
  <c r="P38" i="2"/>
  <c r="O39" i="2"/>
  <c r="Q36" i="2"/>
  <c r="Q37" i="2" s="1"/>
  <c r="P3" i="2"/>
  <c r="N13" i="2"/>
  <c r="N6" i="2"/>
  <c r="T10" i="2"/>
  <c r="S4" i="2"/>
  <c r="O25" i="2" l="1"/>
  <c r="R36" i="2"/>
  <c r="R37" i="2" s="1"/>
  <c r="N24" i="2"/>
  <c r="N8" i="2"/>
  <c r="N14" i="2" s="1"/>
  <c r="N16" i="2" s="1"/>
  <c r="O8" i="2"/>
  <c r="O14" i="2" s="1"/>
  <c r="O16" i="2" s="1"/>
  <c r="O24" i="2"/>
  <c r="P13" i="2"/>
  <c r="P6" i="2"/>
  <c r="Q38" i="2"/>
  <c r="Q3" i="2" s="1"/>
  <c r="P39" i="2"/>
  <c r="N25" i="2"/>
  <c r="U10" i="2"/>
  <c r="T4" i="2"/>
  <c r="Q25" i="2" l="1"/>
  <c r="Q13" i="2"/>
  <c r="Q6" i="2"/>
  <c r="P25" i="2"/>
  <c r="O17" i="2"/>
  <c r="O18" i="2" s="1"/>
  <c r="P8" i="2"/>
  <c r="P14" i="2" s="1"/>
  <c r="P16" i="2" s="1"/>
  <c r="P24" i="2"/>
  <c r="N17" i="2"/>
  <c r="N18" i="2" s="1"/>
  <c r="R38" i="2"/>
  <c r="R3" i="2" s="1"/>
  <c r="Q39" i="2"/>
  <c r="S36" i="2"/>
  <c r="S37" i="2" s="1"/>
  <c r="U4" i="2"/>
  <c r="N19" i="2" l="1"/>
  <c r="N20" i="2" s="1"/>
  <c r="N26" i="2" s="1"/>
  <c r="O19" i="2"/>
  <c r="O20" i="2" s="1"/>
  <c r="R13" i="2"/>
  <c r="R25" i="2"/>
  <c r="R6" i="2"/>
  <c r="S38" i="2"/>
  <c r="R39" i="2"/>
  <c r="Q8" i="2"/>
  <c r="Q14" i="2" s="1"/>
  <c r="Q16" i="2" s="1"/>
  <c r="Q24" i="2"/>
  <c r="P17" i="2"/>
  <c r="P18" i="2" s="1"/>
  <c r="T36" i="2"/>
  <c r="T37" i="2" s="1"/>
  <c r="O22" i="2" l="1"/>
  <c r="O26" i="2"/>
  <c r="P19" i="2"/>
  <c r="P20" i="2" s="1"/>
  <c r="N22" i="2"/>
  <c r="U36" i="2"/>
  <c r="U37" i="2" s="1"/>
  <c r="T38" i="2"/>
  <c r="S39" i="2"/>
  <c r="R24" i="2"/>
  <c r="R8" i="2"/>
  <c r="R14" i="2" s="1"/>
  <c r="R16" i="2" s="1"/>
  <c r="S3" i="2"/>
  <c r="Q17" i="2"/>
  <c r="Q18" i="2" s="1"/>
  <c r="P22" i="2" l="1"/>
  <c r="P26" i="2"/>
  <c r="Q19" i="2"/>
  <c r="Q20" i="2" s="1"/>
  <c r="Q26" i="2" s="1"/>
  <c r="U38" i="2"/>
  <c r="U39" i="2" s="1"/>
  <c r="T39" i="2"/>
  <c r="T3" i="2"/>
  <c r="S13" i="2"/>
  <c r="S6" i="2"/>
  <c r="R17" i="2"/>
  <c r="R18" i="2" s="1"/>
  <c r="R19" i="2" l="1"/>
  <c r="R20" i="2" s="1"/>
  <c r="R26" i="2" s="1"/>
  <c r="Q22" i="2"/>
  <c r="S25" i="2"/>
  <c r="T6" i="2"/>
  <c r="S24" i="2"/>
  <c r="S8" i="2"/>
  <c r="S14" i="2" s="1"/>
  <c r="S16" i="2" s="1"/>
  <c r="U3" i="2"/>
  <c r="R22" i="2" l="1"/>
  <c r="T8" i="2"/>
  <c r="T24" i="2"/>
  <c r="T25" i="2"/>
  <c r="T13" i="2"/>
  <c r="U13" i="2"/>
  <c r="U6" i="2"/>
  <c r="S17" i="2"/>
  <c r="S18" i="2" s="1"/>
  <c r="B6" i="1"/>
  <c r="B5" i="1"/>
  <c r="B2" i="1" a="1"/>
  <c r="B2" i="1" s="1"/>
  <c r="B4" i="1" s="1"/>
  <c r="B7" i="1" s="1"/>
  <c r="S19" i="2" l="1"/>
  <c r="S20" i="2" s="1"/>
  <c r="S26" i="2" s="1"/>
  <c r="U25" i="2"/>
  <c r="T14" i="2"/>
  <c r="T16" i="2" s="1"/>
  <c r="U24" i="2"/>
  <c r="U8" i="2"/>
  <c r="U14" i="2" s="1"/>
  <c r="U16" i="2" s="1"/>
  <c r="S22" i="2" l="1"/>
  <c r="U17" i="2"/>
  <c r="U18" i="2" s="1"/>
  <c r="T17" i="2"/>
  <c r="T18" i="2" s="1"/>
  <c r="T19" i="2" l="1"/>
  <c r="T20" i="2" s="1"/>
  <c r="T26" i="2" s="1"/>
  <c r="U19" i="2"/>
  <c r="U20" i="2" s="1"/>
  <c r="U26" i="2" s="1"/>
  <c r="U22" i="2" l="1"/>
  <c r="V20" i="2"/>
  <c r="W20" i="2" s="1"/>
  <c r="X20" i="2" s="1"/>
  <c r="Y20" i="2" s="1"/>
  <c r="Z20" i="2" s="1"/>
  <c r="AA20" i="2" s="1"/>
  <c r="AB20" i="2" s="1"/>
  <c r="AC20" i="2" s="1"/>
  <c r="AD20" i="2" s="1"/>
  <c r="AE20" i="2" s="1"/>
  <c r="AF20" i="2" s="1"/>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X5" i="2" s="1"/>
  <c r="X7" i="2" s="1"/>
  <c r="X8" i="2" s="1"/>
  <c r="T2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<sst xmlns="http://schemas.openxmlformats.org/spreadsheetml/2006/main" count="59" uniqueCount="53">
  <si>
    <t>ticket</t>
  </si>
  <si>
    <t>price</t>
  </si>
  <si>
    <t>shares</t>
  </si>
  <si>
    <t>mc</t>
  </si>
  <si>
    <t>cash</t>
  </si>
  <si>
    <t>debt</t>
  </si>
  <si>
    <t>ev</t>
  </si>
  <si>
    <t>Premiums</t>
  </si>
  <si>
    <t>Medical costs</t>
  </si>
  <si>
    <t>Q3 2023</t>
  </si>
  <si>
    <t>Q3 2022</t>
  </si>
  <si>
    <t>MLR</t>
  </si>
  <si>
    <t>Products</t>
  </si>
  <si>
    <t>Services</t>
  </si>
  <si>
    <t>Core Revenue</t>
  </si>
  <si>
    <t>Net Investments</t>
  </si>
  <si>
    <t>Total Revenue</t>
  </si>
  <si>
    <t>Medical Costs</t>
  </si>
  <si>
    <t>Operating costs</t>
  </si>
  <si>
    <t>Costs of good sold</t>
  </si>
  <si>
    <t>D&amp;A</t>
  </si>
  <si>
    <t>Total OpEx</t>
  </si>
  <si>
    <t>Operating income</t>
  </si>
  <si>
    <t>(in millions USD)</t>
  </si>
  <si>
    <t>Interest expenses</t>
  </si>
  <si>
    <t>Pretax Income</t>
  </si>
  <si>
    <t>Taxes</t>
  </si>
  <si>
    <t>Net income</t>
  </si>
  <si>
    <t>Non-controling interest</t>
  </si>
  <si>
    <t>Net Income to UNH</t>
  </si>
  <si>
    <t>Shares</t>
  </si>
  <si>
    <t>EPS</t>
  </si>
  <si>
    <t>Revenue Y/Y %</t>
  </si>
  <si>
    <t>MLR %</t>
  </si>
  <si>
    <t>net cash</t>
  </si>
  <si>
    <t>CFFO</t>
  </si>
  <si>
    <t>CAPEX</t>
  </si>
  <si>
    <t>FCF</t>
  </si>
  <si>
    <t>Dividends</t>
  </si>
  <si>
    <t>Payout Ratio</t>
  </si>
  <si>
    <t>Q2 2023</t>
  </si>
  <si>
    <t>Q1 2023</t>
  </si>
  <si>
    <t>Q4 2022</t>
  </si>
  <si>
    <t>Q2 2022</t>
  </si>
  <si>
    <t>Q1 2022</t>
  </si>
  <si>
    <t>UNH Members</t>
  </si>
  <si>
    <t>Revenue per member</t>
  </si>
  <si>
    <t>Discount</t>
  </si>
  <si>
    <t>Maturity</t>
  </si>
  <si>
    <t>NPV</t>
  </si>
  <si>
    <t>Revenue per member growth</t>
  </si>
  <si>
    <t>Members Growth</t>
  </si>
  <si>
    <t>net margin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</si>
</sst>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_-[$$-409]* #,##0.00_ ;_-[$$-409]* \-#,##0.00\ ;_-[$$-409]* &quot;-&quot;??_ ;_-@_ "/>
    <numFmt numFmtId="166" formatCode="0.0%"/>
    <numFmt numFmtId="167" formatCode="[$$-409]#,##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64" fontId="0" fillId="0" borderId="0" xfId="0" applyNumberFormat="1"/>
    <xf numFmtId="165" fontId="0" fillId="0" borderId="0" xfId="0" applyNumberFormat="1"/>
    <xf numFmtId="166" fontId="0" fillId="0" borderId="0" xfId="1" applyNumberFormat="1" applyFont="1"/>
    <xf numFmtId="10" fontId="0" fillId="0" borderId="0" xfId="1" applyNumberFormat="1" applyFont="1"/>
    <xf numFmtId="0" fontId="2" fillId="0" borderId="0" xfId="0" applyFont="1"/>
    <xf numFmtId="14" fontId="0" fillId="0" borderId="0" xfId="0" applyNumberFormat="1"/>
    <xf numFmtId="167" fontId="0" fillId="0" borderId="0" xfId="0" applyNumberFormat="1"/>
    <xf numFmtId="3" fontId="0" fillId="0" borderId="0" xfId="0" applyNumberFormat="1"/>
    <xf numFmtId="3" fontId="2" fillId="0" borderId="0" xfId="0" applyNumberFormat="1" applyFont="1"/>
    <xf numFmtId="166" fontId="2" fillId="0" borderId="0" xfId="1" applyNumberFormat="1" applyFont="1"/>
    <xf numFmtId="9" fontId="0" fillId="0" borderId="0" xfId="0" applyNumberFormat="1"/>
    <xf numFmtId="1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0</xdr:colOff>
      <xdr:row>0</xdr:row>
      <xdr:rowOff>10583</xdr:rowOff>
    </xdr:from>
    <xdr:to>
      <xdr:col>8</xdr:col>
      <xdr:colOff>0</xdr:colOff>
      <xdr:row>39</xdr:row>
      <xdr:rowOff>137583</xdr:rowOff>
    </xdr:to>
    <xdr:cxnSp macro="">
      <xdr:nvCxnSpPr>
        <xdr:cNvPr id="3" name="Straight Connector 2">
          <a:extLst>
            <a:ext uri="{FF2B5EF4-FFF2-40B4-BE49-F238E27FC236}">
              <a16:creationId xmlns:a16="http://schemas.microsoft.com/office/drawing/2014/main" id="{BB6B4754-DE33-9D3D-5A29-9C4A18E04AFC}"/>
            </a:ext>
          </a:extLst>
        </xdr:cNvPr>
        <xdr:cNvCxnSpPr/>
      </xdr:nvCxnSpPr>
      <xdr:spPr>
        <a:xfrm>
          <a:off x="6318250" y="10583"/>
          <a:ext cx="0" cy="7175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0</xdr:row>
      <xdr:rowOff>42333</xdr:rowOff>
    </xdr:from>
    <xdr:to>
      <xdr:col>13</xdr:col>
      <xdr:colOff>0</xdr:colOff>
      <xdr:row>39</xdr:row>
      <xdr:rowOff>31750</xdr:rowOff>
    </xdr:to>
    <xdr:cxnSp macro="">
      <xdr:nvCxnSpPr>
        <xdr:cNvPr id="5" name="Straight Connector 4">
          <a:extLst>
            <a:ext uri="{FF2B5EF4-FFF2-40B4-BE49-F238E27FC236}">
              <a16:creationId xmlns:a16="http://schemas.microsoft.com/office/drawing/2014/main" id="{99138EA2-D593-26F3-9737-E8B4E23C980D}"/>
            </a:ext>
          </a:extLst>
        </xdr:cNvPr>
        <xdr:cNvCxnSpPr/>
      </xdr:nvCxnSpPr>
      <xdr:spPr>
        <a:xfrm>
          <a:off x="9387417" y="42333"/>
          <a:ext cx="0" cy="703791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en-GB</v>
    <v>a24xlh</v>
    <v>268435456</v>
    <v>1</v>
    <v>Powered by Refinitiv</v>
    <v>0</v>
    <v>UNITEDHEALTH GROUP INCORPORATED (XNYS:UNH)</v>
    <v>2</v>
    <v>3</v>
    <v>Finance</v>
    <v>4</v>
    <v>554.70000000000005</v>
    <v>445.68</v>
    <v>0.54830000000000001</v>
    <v>-26.92</v>
    <v>-5.2451999999999999E-2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495.51</v>
    <v>Healthcare Providers &amp; Services</v>
    <v>Stock</v>
    <v>45316.650472383597</v>
    <v>0</v>
    <v>483.73</v>
    <v>449800422643</v>
    <v>UNITEDHEALTH GROUP INCORPORATED</v>
    <v>UNITEDHEALTH GROUP INCORPORATED</v>
    <v>487.64</v>
    <v>21.520700000000001</v>
    <v>513.23</v>
    <v>486.31</v>
    <v>924925300</v>
    <v>UNH</v>
    <v>UNITEDHEALTH GROUP INCORPORATED (XNYS:UNH)</v>
    <v>3660801</v>
    <v>3345884</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A0371-E6F6-4BB5-89FC-01F408B0894F}">
  <dimension ref="A1:C14"/>
  <sheetViews>
    <sheetView workbookViewId="0">
      <selection activeCell="F14" sqref="F14"/>
    </sheetView>
  </sheetViews>
  <sheetFormatPr defaultRowHeight="14.4" x14ac:dyDescent="0.3"/>
  <cols>
    <col min="1" max="1" width="12.88671875" bestFit="1" customWidth="1"/>
    <col min="2" max="2" width="12.109375" bestFit="1" customWidth="1"/>
  </cols>
  <sheetData>
    <row r="1" spans="1:3" x14ac:dyDescent="0.3">
      <c r="A1" t="s">
        <v>0</v>
      </c>
      <c r="B1" t="e" vm="1">
        <v>#VALUE!</v>
      </c>
    </row>
    <row r="2" spans="1:3" x14ac:dyDescent="0.3">
      <c r="A2" t="s">
        <v>1</v>
      </c>
      <c r="B2" s="1" cm="1">
        <f t="array" ref="B2">_FV(B1,"Price")</f>
        <v>486.31</v>
      </c>
    </row>
    <row r="3" spans="1:3" x14ac:dyDescent="0.3">
      <c r="A3" t="s">
        <v>2</v>
      </c>
      <c r="B3">
        <v>924.92499999999995</v>
      </c>
    </row>
    <row r="4" spans="1:3" x14ac:dyDescent="0.3">
      <c r="A4" t="s">
        <v>3</v>
      </c>
      <c r="B4" s="2">
        <f>B2*B3</f>
        <v>449800.27674999996</v>
      </c>
    </row>
    <row r="5" spans="1:3" x14ac:dyDescent="0.3">
      <c r="A5" t="s">
        <v>4</v>
      </c>
      <c r="B5">
        <f>38915+5182</f>
        <v>44097</v>
      </c>
    </row>
    <row r="6" spans="1:3" x14ac:dyDescent="0.3">
      <c r="A6" t="s">
        <v>5</v>
      </c>
      <c r="B6">
        <f>5290+58079</f>
        <v>63369</v>
      </c>
    </row>
    <row r="7" spans="1:3" x14ac:dyDescent="0.3">
      <c r="A7" t="s">
        <v>6</v>
      </c>
      <c r="B7" s="2">
        <f>B4-B5+B6</f>
        <v>469072.27674999996</v>
      </c>
    </row>
    <row r="11" spans="1:3" x14ac:dyDescent="0.3">
      <c r="B11" s="5" t="s">
        <v>9</v>
      </c>
      <c r="C11" s="5" t="s">
        <v>10</v>
      </c>
    </row>
    <row r="12" spans="1:3" x14ac:dyDescent="0.3">
      <c r="A12" t="s">
        <v>7</v>
      </c>
      <c r="B12">
        <v>72339</v>
      </c>
      <c r="C12">
        <v>64491</v>
      </c>
    </row>
    <row r="13" spans="1:3" x14ac:dyDescent="0.3">
      <c r="A13" t="s">
        <v>8</v>
      </c>
      <c r="B13">
        <v>59550</v>
      </c>
      <c r="C13">
        <v>52635</v>
      </c>
    </row>
    <row r="14" spans="1:3" x14ac:dyDescent="0.3">
      <c r="A14" t="s">
        <v>11</v>
      </c>
      <c r="B14" s="4">
        <f>(B12-B13)/B12</f>
        <v>0.17679260150126488</v>
      </c>
      <c r="C14" s="4">
        <f t="shared" ref="C14" si="0">(C12-C13)/C12</f>
        <v>0.18383960552635251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9B09-077C-4E2D-BEEC-D099160FD7AC}">
  <dimension ref="A1:BW39"/>
  <sheetViews>
    <sheetView tabSelected="1" zoomScale="90" zoomScaleNormal="90" workbookViewId="0">
      <pane xSplit="1" ySplit="2" topLeftCell="E4" activePane="bottomRight" state="frozen"/>
      <selection pane="topRight" activeCell="B1" sqref="B1"/>
      <selection pane="bottomLeft" activeCell="A3" sqref="A3"/>
      <selection pane="bottomRight" activeCell="R9" sqref="R9"/>
    </sheetView>
  </sheetViews>
  <sheetFormatPr defaultRowHeight="14.4" x14ac:dyDescent="0.3"/>
  <cols>
    <col min="1" max="1" width="27.5546875" bestFit="1" customWidth="1"/>
    <col min="2" max="2" width="9" customWidth="1"/>
    <col min="4" max="4" width="13.33203125" bestFit="1" customWidth="1"/>
    <col min="8" max="8" width="13.33203125" bestFit="1" customWidth="1"/>
    <col min="24" max="24" width="12.5546875" bestFit="1" customWidth="1"/>
  </cols>
  <sheetData>
    <row r="1" spans="1:24" x14ac:dyDescent="0.3">
      <c r="D1" s="6">
        <v>44834</v>
      </c>
      <c r="H1" s="6">
        <v>45199</v>
      </c>
    </row>
    <row r="2" spans="1:24" x14ac:dyDescent="0.3">
      <c r="A2" t="s">
        <v>23</v>
      </c>
      <c r="B2" s="5" t="s">
        <v>44</v>
      </c>
      <c r="C2" s="5" t="s">
        <v>43</v>
      </c>
      <c r="D2" s="5" t="s">
        <v>10</v>
      </c>
      <c r="E2" s="5" t="s">
        <v>42</v>
      </c>
      <c r="F2" s="5" t="s">
        <v>41</v>
      </c>
      <c r="G2" s="5" t="s">
        <v>40</v>
      </c>
      <c r="H2" s="5" t="s">
        <v>9</v>
      </c>
      <c r="K2" s="5">
        <v>2020</v>
      </c>
      <c r="L2" s="5">
        <f>K2+1</f>
        <v>2021</v>
      </c>
      <c r="M2" s="5">
        <f t="shared" ref="M2:S2" si="0">L2+1</f>
        <v>2022</v>
      </c>
      <c r="N2" s="5">
        <f t="shared" si="0"/>
        <v>2023</v>
      </c>
      <c r="O2" s="5">
        <f t="shared" si="0"/>
        <v>2024</v>
      </c>
      <c r="P2" s="5">
        <f t="shared" si="0"/>
        <v>2025</v>
      </c>
      <c r="Q2" s="5">
        <f t="shared" si="0"/>
        <v>2026</v>
      </c>
      <c r="R2" s="5">
        <f t="shared" si="0"/>
        <v>2027</v>
      </c>
      <c r="S2" s="5">
        <f t="shared" si="0"/>
        <v>2028</v>
      </c>
      <c r="T2" s="5">
        <f t="shared" ref="T2:U2" si="1">S2+1</f>
        <v>2029</v>
      </c>
      <c r="U2" s="5">
        <f t="shared" si="1"/>
        <v>2030</v>
      </c>
    </row>
    <row r="3" spans="1:24" x14ac:dyDescent="0.3">
      <c r="A3" t="s">
        <v>7</v>
      </c>
      <c r="B3">
        <v>64070</v>
      </c>
      <c r="C3">
        <v>63896</v>
      </c>
      <c r="D3">
        <v>64491</v>
      </c>
      <c r="F3">
        <v>72786</v>
      </c>
      <c r="G3">
        <v>72474</v>
      </c>
      <c r="H3">
        <v>72339</v>
      </c>
      <c r="K3" s="8">
        <v>201478</v>
      </c>
      <c r="L3" s="8">
        <v>226233</v>
      </c>
      <c r="M3" s="8">
        <v>257157</v>
      </c>
      <c r="N3" s="8">
        <f>N36*N38</f>
        <v>271364.92425000004</v>
      </c>
      <c r="O3" s="8">
        <f t="shared" ref="O3:U3" si="2">O36*O38</f>
        <v>286072.90314435004</v>
      </c>
      <c r="P3" s="8">
        <f t="shared" si="2"/>
        <v>301578.05449477385</v>
      </c>
      <c r="Q3" s="8">
        <f t="shared" si="2"/>
        <v>317923.58504839061</v>
      </c>
      <c r="R3" s="8">
        <f t="shared" si="2"/>
        <v>335155.04335801338</v>
      </c>
      <c r="S3" s="8">
        <f t="shared" si="2"/>
        <v>353320.44670801773</v>
      </c>
      <c r="T3" s="8">
        <f t="shared" si="2"/>
        <v>372470.41491959227</v>
      </c>
      <c r="U3" s="8">
        <f t="shared" si="2"/>
        <v>392658.31140823418</v>
      </c>
      <c r="W3" t="s">
        <v>47</v>
      </c>
      <c r="X3" s="11">
        <v>0.08</v>
      </c>
    </row>
    <row r="4" spans="1:24" x14ac:dyDescent="0.3">
      <c r="A4" t="s">
        <v>12</v>
      </c>
      <c r="B4">
        <v>9340</v>
      </c>
      <c r="C4">
        <v>9496</v>
      </c>
      <c r="D4">
        <v>9190</v>
      </c>
      <c r="F4">
        <v>10267</v>
      </c>
      <c r="G4">
        <v>10651</v>
      </c>
      <c r="H4">
        <v>10354</v>
      </c>
      <c r="K4" s="8">
        <v>34145</v>
      </c>
      <c r="L4" s="8">
        <v>34437</v>
      </c>
      <c r="M4" s="8">
        <v>37424</v>
      </c>
      <c r="N4" s="8">
        <f>M4*1.04</f>
        <v>38920.959999999999</v>
      </c>
      <c r="O4" s="8">
        <f t="shared" ref="O4:U4" si="3">N4*1.04</f>
        <v>40477.7984</v>
      </c>
      <c r="P4" s="8">
        <f t="shared" si="3"/>
        <v>42096.910336000001</v>
      </c>
      <c r="Q4" s="8">
        <f t="shared" si="3"/>
        <v>43780.786749440005</v>
      </c>
      <c r="R4" s="8">
        <f t="shared" si="3"/>
        <v>45532.018219417609</v>
      </c>
      <c r="S4" s="8">
        <f t="shared" si="3"/>
        <v>47353.298948194315</v>
      </c>
      <c r="T4" s="8">
        <f t="shared" si="3"/>
        <v>49247.430906122092</v>
      </c>
      <c r="U4" s="8">
        <f t="shared" si="3"/>
        <v>51217.328142366976</v>
      </c>
      <c r="W4" t="s">
        <v>48</v>
      </c>
      <c r="X4" s="12">
        <v>0.02</v>
      </c>
    </row>
    <row r="5" spans="1:24" x14ac:dyDescent="0.3">
      <c r="A5" t="s">
        <v>13</v>
      </c>
      <c r="B5">
        <v>6372</v>
      </c>
      <c r="C5">
        <v>6645</v>
      </c>
      <c r="D5">
        <v>6700</v>
      </c>
      <c r="F5">
        <v>8080</v>
      </c>
      <c r="G5">
        <v>8663</v>
      </c>
      <c r="H5">
        <v>8671</v>
      </c>
      <c r="K5" s="8">
        <v>20016</v>
      </c>
      <c r="L5" s="8">
        <v>24603</v>
      </c>
      <c r="M5" s="8">
        <v>27551</v>
      </c>
      <c r="N5" s="8">
        <f>M5*1.045</f>
        <v>28790.794999999998</v>
      </c>
      <c r="O5" s="8">
        <f t="shared" ref="O5:U5" si="4">N5*1.045</f>
        <v>30086.380774999998</v>
      </c>
      <c r="P5" s="8">
        <f t="shared" si="4"/>
        <v>31440.267909874994</v>
      </c>
      <c r="Q5" s="8">
        <f t="shared" si="4"/>
        <v>32855.079965819365</v>
      </c>
      <c r="R5" s="8">
        <f t="shared" si="4"/>
        <v>34333.558564281237</v>
      </c>
      <c r="S5" s="8">
        <f t="shared" si="4"/>
        <v>35878.568699673888</v>
      </c>
      <c r="T5" s="8">
        <f t="shared" si="4"/>
        <v>37493.104291159209</v>
      </c>
      <c r="U5" s="8">
        <f t="shared" si="4"/>
        <v>39180.29398426137</v>
      </c>
      <c r="W5" t="s">
        <v>49</v>
      </c>
      <c r="X5" s="7">
        <f>NPV(X3,N20:BW20)</f>
        <v>529186.19314170058</v>
      </c>
    </row>
    <row r="6" spans="1:24" x14ac:dyDescent="0.3">
      <c r="A6" s="5" t="s">
        <v>14</v>
      </c>
      <c r="B6" s="5">
        <f t="shared" ref="B6:G6" si="5">SUM(B3:B5)</f>
        <v>79782</v>
      </c>
      <c r="C6" s="5">
        <f t="shared" si="5"/>
        <v>80037</v>
      </c>
      <c r="D6" s="5">
        <f t="shared" si="5"/>
        <v>80381</v>
      </c>
      <c r="E6" s="5">
        <f t="shared" si="5"/>
        <v>0</v>
      </c>
      <c r="F6" s="5">
        <f t="shared" si="5"/>
        <v>91133</v>
      </c>
      <c r="G6" s="5">
        <f t="shared" si="5"/>
        <v>91788</v>
      </c>
      <c r="H6" s="5">
        <f>SUM(H3:H5)</f>
        <v>91364</v>
      </c>
      <c r="K6" s="9">
        <f t="shared" ref="K6:U6" si="6">SUM(K3:K5)</f>
        <v>255639</v>
      </c>
      <c r="L6" s="9">
        <f t="shared" si="6"/>
        <v>285273</v>
      </c>
      <c r="M6" s="9">
        <f t="shared" si="6"/>
        <v>322132</v>
      </c>
      <c r="N6" s="9">
        <f t="shared" si="6"/>
        <v>339076.67925000004</v>
      </c>
      <c r="O6" s="9">
        <f t="shared" si="6"/>
        <v>356637.08231934998</v>
      </c>
      <c r="P6" s="9">
        <f t="shared" si="6"/>
        <v>375115.23274064891</v>
      </c>
      <c r="Q6" s="9">
        <f t="shared" si="6"/>
        <v>394559.45176364999</v>
      </c>
      <c r="R6" s="9">
        <f t="shared" si="6"/>
        <v>415020.62014171225</v>
      </c>
      <c r="S6" s="9">
        <f t="shared" si="6"/>
        <v>436552.3143558859</v>
      </c>
      <c r="T6" s="9">
        <f t="shared" si="6"/>
        <v>459210.95011687354</v>
      </c>
      <c r="U6" s="9">
        <f t="shared" si="6"/>
        <v>483055.93353486247</v>
      </c>
      <c r="W6" t="s">
        <v>34</v>
      </c>
      <c r="X6" s="7">
        <f>H28</f>
        <v>-19272</v>
      </c>
    </row>
    <row r="7" spans="1:24" x14ac:dyDescent="0.3">
      <c r="A7" t="s">
        <v>15</v>
      </c>
      <c r="B7">
        <v>367</v>
      </c>
      <c r="C7">
        <v>295</v>
      </c>
      <c r="D7">
        <v>513</v>
      </c>
      <c r="F7">
        <v>798</v>
      </c>
      <c r="G7">
        <v>1115</v>
      </c>
      <c r="H7">
        <v>997</v>
      </c>
      <c r="K7" s="8">
        <v>1502</v>
      </c>
      <c r="L7" s="8">
        <v>2324</v>
      </c>
      <c r="M7" s="8">
        <v>2030</v>
      </c>
      <c r="N7" s="8">
        <f>M7*1.03</f>
        <v>2090.9</v>
      </c>
      <c r="O7" s="8">
        <f t="shared" ref="O7:U7" si="7">N7*1.03</f>
        <v>2153.627</v>
      </c>
      <c r="P7" s="8">
        <f t="shared" si="7"/>
        <v>2218.2358100000001</v>
      </c>
      <c r="Q7" s="8">
        <f t="shared" si="7"/>
        <v>2284.7828843000002</v>
      </c>
      <c r="R7" s="8">
        <f t="shared" si="7"/>
        <v>2353.3263708290001</v>
      </c>
      <c r="S7" s="8">
        <f t="shared" si="7"/>
        <v>2423.9261619538702</v>
      </c>
      <c r="T7" s="8">
        <f t="shared" si="7"/>
        <v>2496.6439468124863</v>
      </c>
      <c r="U7" s="8">
        <f t="shared" si="7"/>
        <v>2571.5432652168611</v>
      </c>
      <c r="W7" t="s">
        <v>6</v>
      </c>
      <c r="X7" s="7">
        <f>X5+X6</f>
        <v>509914.19314170058</v>
      </c>
    </row>
    <row r="8" spans="1:24" x14ac:dyDescent="0.3">
      <c r="A8" s="5" t="s">
        <v>16</v>
      </c>
      <c r="B8" s="5">
        <f t="shared" ref="B8:G8" si="8">B6+B7</f>
        <v>80149</v>
      </c>
      <c r="C8" s="5">
        <f t="shared" si="8"/>
        <v>80332</v>
      </c>
      <c r="D8" s="5">
        <f t="shared" si="8"/>
        <v>80894</v>
      </c>
      <c r="E8" s="5">
        <f t="shared" si="8"/>
        <v>0</v>
      </c>
      <c r="F8" s="5">
        <f t="shared" si="8"/>
        <v>91931</v>
      </c>
      <c r="G8" s="5">
        <f t="shared" si="8"/>
        <v>92903</v>
      </c>
      <c r="H8" s="5">
        <f>H6+H7</f>
        <v>92361</v>
      </c>
      <c r="K8" s="9">
        <f t="shared" ref="K8:U8" si="9">K6+K7</f>
        <v>257141</v>
      </c>
      <c r="L8" s="9">
        <f t="shared" si="9"/>
        <v>287597</v>
      </c>
      <c r="M8" s="9">
        <f t="shared" si="9"/>
        <v>324162</v>
      </c>
      <c r="N8" s="9">
        <f t="shared" si="9"/>
        <v>341167.57925000007</v>
      </c>
      <c r="O8" s="9">
        <f t="shared" si="9"/>
        <v>358790.70931934996</v>
      </c>
      <c r="P8" s="9">
        <f t="shared" si="9"/>
        <v>377333.46855064889</v>
      </c>
      <c r="Q8" s="9">
        <f t="shared" si="9"/>
        <v>396844.23464794998</v>
      </c>
      <c r="R8" s="9">
        <f t="shared" si="9"/>
        <v>417373.94651254127</v>
      </c>
      <c r="S8" s="9">
        <f t="shared" si="9"/>
        <v>438976.24051783979</v>
      </c>
      <c r="T8" s="9">
        <f t="shared" si="9"/>
        <v>461707.59406368603</v>
      </c>
      <c r="U8" s="9">
        <f t="shared" si="9"/>
        <v>485627.47680007934</v>
      </c>
      <c r="W8" t="s">
        <v>1</v>
      </c>
      <c r="X8" s="7">
        <f>X7/H21</f>
        <v>544.78012087788522</v>
      </c>
    </row>
    <row r="9" spans="1:24" x14ac:dyDescent="0.3">
      <c r="A9" t="s">
        <v>17</v>
      </c>
      <c r="B9">
        <v>52523</v>
      </c>
      <c r="C9">
        <v>52093</v>
      </c>
      <c r="D9">
        <v>52635</v>
      </c>
      <c r="F9">
        <v>59845</v>
      </c>
      <c r="G9">
        <v>60268</v>
      </c>
      <c r="H9">
        <v>59550</v>
      </c>
      <c r="K9" s="8">
        <v>159396</v>
      </c>
      <c r="L9" s="8">
        <v>186911</v>
      </c>
      <c r="M9" s="8">
        <v>210842</v>
      </c>
      <c r="N9" s="8">
        <f>N3*(1-0.18)</f>
        <v>222519.23788500004</v>
      </c>
      <c r="O9" s="8">
        <f t="shared" ref="O9:U9" si="10">O3*(1-0.18)</f>
        <v>234579.78057836706</v>
      </c>
      <c r="P9" s="8">
        <f>P3*(1-0.182)</f>
        <v>246690.84857672502</v>
      </c>
      <c r="Q9" s="8">
        <f t="shared" ref="Q9" si="11">Q3*(1-0.182)</f>
        <v>260061.49256958353</v>
      </c>
      <c r="R9" s="8">
        <f>R3*(1-0.185)</f>
        <v>273151.3603367809</v>
      </c>
      <c r="S9" s="8">
        <f t="shared" ref="S9:U9" si="12">S3*(1-0.185)</f>
        <v>287956.16406703443</v>
      </c>
      <c r="T9" s="8">
        <f t="shared" si="12"/>
        <v>303563.38815946766</v>
      </c>
      <c r="U9" s="8">
        <f t="shared" si="12"/>
        <v>320016.52379771083</v>
      </c>
    </row>
    <row r="10" spans="1:24" x14ac:dyDescent="0.3">
      <c r="A10" t="s">
        <v>18</v>
      </c>
      <c r="B10">
        <v>11401</v>
      </c>
      <c r="C10">
        <v>11709</v>
      </c>
      <c r="D10">
        <v>11663</v>
      </c>
      <c r="F10" s="5">
        <v>13625</v>
      </c>
      <c r="G10">
        <v>13809</v>
      </c>
      <c r="H10">
        <v>13855</v>
      </c>
      <c r="K10" s="9">
        <v>41704</v>
      </c>
      <c r="L10" s="9">
        <v>42579</v>
      </c>
      <c r="M10" s="9">
        <v>47782</v>
      </c>
      <c r="N10" s="8">
        <f>M10*1.035</f>
        <v>49454.369999999995</v>
      </c>
      <c r="O10" s="8">
        <f t="shared" ref="O10:U10" si="13">N10*1.035</f>
        <v>51185.272949999991</v>
      </c>
      <c r="P10" s="8">
        <f t="shared" si="13"/>
        <v>52976.757503249988</v>
      </c>
      <c r="Q10" s="8">
        <f t="shared" si="13"/>
        <v>54830.94401586373</v>
      </c>
      <c r="R10" s="8">
        <f t="shared" si="13"/>
        <v>56750.027056418956</v>
      </c>
      <c r="S10" s="8">
        <f t="shared" si="13"/>
        <v>58736.278003393614</v>
      </c>
      <c r="T10" s="8">
        <f t="shared" si="13"/>
        <v>60792.047733512387</v>
      </c>
      <c r="U10" s="8">
        <f t="shared" si="13"/>
        <v>62919.769404185317</v>
      </c>
    </row>
    <row r="11" spans="1:24" x14ac:dyDescent="0.3">
      <c r="A11" t="s">
        <v>19</v>
      </c>
      <c r="B11">
        <v>8487</v>
      </c>
      <c r="C11">
        <v>8596</v>
      </c>
      <c r="D11">
        <v>8306</v>
      </c>
      <c r="F11">
        <v>9405</v>
      </c>
      <c r="G11">
        <v>9748</v>
      </c>
      <c r="H11">
        <v>9423</v>
      </c>
      <c r="K11" s="8">
        <v>30745</v>
      </c>
      <c r="L11" s="8">
        <v>31034</v>
      </c>
      <c r="M11" s="8">
        <v>33703</v>
      </c>
      <c r="N11" s="8">
        <f>M11*1.03</f>
        <v>34714.090000000004</v>
      </c>
      <c r="O11" s="8">
        <f t="shared" ref="O11:U11" si="14">N11*1.03</f>
        <v>35755.512700000007</v>
      </c>
      <c r="P11" s="8">
        <f t="shared" si="14"/>
        <v>36828.178081000005</v>
      </c>
      <c r="Q11" s="8">
        <f t="shared" si="14"/>
        <v>37933.023423430008</v>
      </c>
      <c r="R11" s="8">
        <f t="shared" si="14"/>
        <v>39071.014126132912</v>
      </c>
      <c r="S11" s="8">
        <f t="shared" si="14"/>
        <v>40243.144549916899</v>
      </c>
      <c r="T11" s="8">
        <f t="shared" si="14"/>
        <v>41450.438886414406</v>
      </c>
      <c r="U11" s="8">
        <f t="shared" si="14"/>
        <v>42693.95205300684</v>
      </c>
    </row>
    <row r="12" spans="1:24" x14ac:dyDescent="0.3">
      <c r="A12" t="s">
        <v>20</v>
      </c>
      <c r="B12">
        <v>788</v>
      </c>
      <c r="C12">
        <v>802</v>
      </c>
      <c r="D12">
        <v>828</v>
      </c>
      <c r="F12">
        <v>970</v>
      </c>
      <c r="G12">
        <v>1021</v>
      </c>
      <c r="H12">
        <v>1007</v>
      </c>
      <c r="K12" s="9">
        <v>2891</v>
      </c>
      <c r="L12" s="9">
        <v>3103</v>
      </c>
      <c r="M12" s="9">
        <v>3400</v>
      </c>
      <c r="N12" s="8">
        <f>M12*1.03</f>
        <v>3502</v>
      </c>
      <c r="O12" s="8">
        <f t="shared" ref="O12:U12" si="15">N12*1.03</f>
        <v>3607.06</v>
      </c>
      <c r="P12" s="8">
        <f t="shared" si="15"/>
        <v>3715.2718</v>
      </c>
      <c r="Q12" s="8">
        <f t="shared" si="15"/>
        <v>3826.7299539999999</v>
      </c>
      <c r="R12" s="8">
        <f t="shared" si="15"/>
        <v>3941.5318526199999</v>
      </c>
      <c r="S12" s="8">
        <f t="shared" si="15"/>
        <v>4059.7778081985998</v>
      </c>
      <c r="T12" s="8">
        <f t="shared" si="15"/>
        <v>4181.5711424445581</v>
      </c>
      <c r="U12" s="8">
        <f t="shared" si="15"/>
        <v>4307.0182767178949</v>
      </c>
    </row>
    <row r="13" spans="1:24" x14ac:dyDescent="0.3">
      <c r="A13" t="s">
        <v>21</v>
      </c>
      <c r="B13">
        <f t="shared" ref="B13:C13" si="16">SUM(B9:B12)</f>
        <v>73199</v>
      </c>
      <c r="C13">
        <f t="shared" si="16"/>
        <v>73200</v>
      </c>
      <c r="D13">
        <f>SUM(D9:D12)</f>
        <v>73432</v>
      </c>
      <c r="E13">
        <f t="shared" ref="E13:H13" si="17">SUM(E9:E12)</f>
        <v>0</v>
      </c>
      <c r="F13">
        <f t="shared" si="17"/>
        <v>83845</v>
      </c>
      <c r="G13">
        <f t="shared" si="17"/>
        <v>84846</v>
      </c>
      <c r="H13">
        <f t="shared" si="17"/>
        <v>83835</v>
      </c>
      <c r="K13" s="8">
        <f t="shared" ref="K13:U13" si="18">SUM(K9:K12)</f>
        <v>234736</v>
      </c>
      <c r="L13" s="8">
        <f t="shared" si="18"/>
        <v>263627</v>
      </c>
      <c r="M13" s="8">
        <f t="shared" si="18"/>
        <v>295727</v>
      </c>
      <c r="N13" s="8">
        <f t="shared" si="18"/>
        <v>310189.69788500009</v>
      </c>
      <c r="O13" s="8">
        <f t="shared" si="18"/>
        <v>325127.62622836709</v>
      </c>
      <c r="P13" s="8">
        <f t="shared" si="18"/>
        <v>340211.05596097501</v>
      </c>
      <c r="Q13" s="8">
        <f t="shared" si="18"/>
        <v>356652.18996287725</v>
      </c>
      <c r="R13" s="8">
        <f t="shared" si="18"/>
        <v>372913.93337195279</v>
      </c>
      <c r="S13" s="8">
        <f t="shared" si="18"/>
        <v>390995.36442854354</v>
      </c>
      <c r="T13" s="8">
        <f t="shared" si="18"/>
        <v>409987.44592183904</v>
      </c>
      <c r="U13" s="8">
        <f t="shared" si="18"/>
        <v>429937.26353162091</v>
      </c>
    </row>
    <row r="14" spans="1:24" x14ac:dyDescent="0.3">
      <c r="A14" s="5" t="s">
        <v>22</v>
      </c>
      <c r="B14" s="5">
        <f t="shared" ref="B14:C14" si="19">B8-B13</f>
        <v>6950</v>
      </c>
      <c r="C14" s="5">
        <f t="shared" si="19"/>
        <v>7132</v>
      </c>
      <c r="D14" s="5">
        <f>D8-D13</f>
        <v>7462</v>
      </c>
      <c r="E14" s="5">
        <f t="shared" ref="E14:H14" si="20">E8-E13</f>
        <v>0</v>
      </c>
      <c r="F14" s="5">
        <f t="shared" si="20"/>
        <v>8086</v>
      </c>
      <c r="G14" s="5">
        <f t="shared" si="20"/>
        <v>8057</v>
      </c>
      <c r="H14" s="5">
        <f t="shared" si="20"/>
        <v>8526</v>
      </c>
      <c r="I14" s="5"/>
      <c r="J14" s="5"/>
      <c r="K14" s="9">
        <f t="shared" ref="K14:U14" si="21">K8-K13</f>
        <v>22405</v>
      </c>
      <c r="L14" s="9">
        <f t="shared" si="21"/>
        <v>23970</v>
      </c>
      <c r="M14" s="9">
        <f t="shared" si="21"/>
        <v>28435</v>
      </c>
      <c r="N14" s="9">
        <f t="shared" si="21"/>
        <v>30977.881364999979</v>
      </c>
      <c r="O14" s="9">
        <f t="shared" si="21"/>
        <v>33663.083090982866</v>
      </c>
      <c r="P14" s="9">
        <f t="shared" si="21"/>
        <v>37122.412589673884</v>
      </c>
      <c r="Q14" s="9">
        <f t="shared" si="21"/>
        <v>40192.044685072731</v>
      </c>
      <c r="R14" s="9">
        <f t="shared" si="21"/>
        <v>44460.013140588475</v>
      </c>
      <c r="S14" s="9">
        <f t="shared" si="21"/>
        <v>47980.876089296245</v>
      </c>
      <c r="T14" s="9">
        <f t="shared" si="21"/>
        <v>51720.148141846992</v>
      </c>
      <c r="U14" s="9">
        <f t="shared" si="21"/>
        <v>55690.213268458436</v>
      </c>
    </row>
    <row r="15" spans="1:24" x14ac:dyDescent="0.3">
      <c r="A15" t="s">
        <v>24</v>
      </c>
      <c r="B15">
        <v>433</v>
      </c>
      <c r="C15">
        <v>467</v>
      </c>
      <c r="D15">
        <v>516</v>
      </c>
      <c r="F15">
        <v>754</v>
      </c>
      <c r="G15">
        <v>828</v>
      </c>
      <c r="H15">
        <v>834</v>
      </c>
      <c r="K15" s="8">
        <v>1663</v>
      </c>
      <c r="L15" s="8">
        <v>1660</v>
      </c>
      <c r="M15" s="8">
        <v>2092</v>
      </c>
      <c r="N15" s="8">
        <f>M15*1.03</f>
        <v>2154.7600000000002</v>
      </c>
      <c r="O15" s="8">
        <f>N15*0.99</f>
        <v>2133.2124000000003</v>
      </c>
      <c r="P15" s="8">
        <f t="shared" ref="P15:U15" si="22">O15*0.99</f>
        <v>2111.8802760000003</v>
      </c>
      <c r="Q15" s="8">
        <f t="shared" si="22"/>
        <v>2090.7614732400002</v>
      </c>
      <c r="R15" s="8">
        <f t="shared" si="22"/>
        <v>2069.8538585076003</v>
      </c>
      <c r="S15" s="8">
        <f t="shared" si="22"/>
        <v>2049.1553199225241</v>
      </c>
      <c r="T15" s="8">
        <f t="shared" si="22"/>
        <v>2028.6637667232987</v>
      </c>
      <c r="U15" s="8">
        <f t="shared" si="22"/>
        <v>2008.3771290560658</v>
      </c>
    </row>
    <row r="16" spans="1:24" x14ac:dyDescent="0.3">
      <c r="A16" s="5" t="s">
        <v>25</v>
      </c>
      <c r="B16" s="5">
        <f t="shared" ref="B16:C16" si="23">B14-B15</f>
        <v>6517</v>
      </c>
      <c r="C16" s="5">
        <f t="shared" si="23"/>
        <v>6665</v>
      </c>
      <c r="D16" s="5">
        <f>D14-D15</f>
        <v>6946</v>
      </c>
      <c r="E16" s="5">
        <f t="shared" ref="E16:H16" si="24">E14-E15</f>
        <v>0</v>
      </c>
      <c r="F16" s="5">
        <f t="shared" si="24"/>
        <v>7332</v>
      </c>
      <c r="G16" s="5">
        <f t="shared" si="24"/>
        <v>7229</v>
      </c>
      <c r="H16" s="5">
        <f t="shared" si="24"/>
        <v>7692</v>
      </c>
      <c r="I16" s="5"/>
      <c r="J16" s="5"/>
      <c r="K16" s="9">
        <f t="shared" ref="K16:U16" si="25">K14-K15</f>
        <v>20742</v>
      </c>
      <c r="L16" s="9">
        <f t="shared" si="25"/>
        <v>22310</v>
      </c>
      <c r="M16" s="9">
        <f t="shared" si="25"/>
        <v>26343</v>
      </c>
      <c r="N16" s="9">
        <f t="shared" si="25"/>
        <v>28823.121364999977</v>
      </c>
      <c r="O16" s="9">
        <f t="shared" si="25"/>
        <v>31529.870690982865</v>
      </c>
      <c r="P16" s="9">
        <f t="shared" si="25"/>
        <v>35010.532313673881</v>
      </c>
      <c r="Q16" s="9">
        <f t="shared" si="25"/>
        <v>38101.283211832728</v>
      </c>
      <c r="R16" s="9">
        <f t="shared" si="25"/>
        <v>42390.159282080873</v>
      </c>
      <c r="S16" s="9">
        <f t="shared" si="25"/>
        <v>45931.720769373722</v>
      </c>
      <c r="T16" s="9">
        <f t="shared" si="25"/>
        <v>49691.484375123691</v>
      </c>
      <c r="U16" s="9">
        <f t="shared" si="25"/>
        <v>53681.836139402367</v>
      </c>
    </row>
    <row r="17" spans="1:75" x14ac:dyDescent="0.3">
      <c r="A17" t="s">
        <v>26</v>
      </c>
      <c r="B17">
        <v>1369</v>
      </c>
      <c r="C17">
        <v>1466</v>
      </c>
      <c r="D17">
        <v>1562</v>
      </c>
      <c r="F17">
        <v>1558</v>
      </c>
      <c r="G17">
        <v>1572</v>
      </c>
      <c r="H17">
        <v>1654</v>
      </c>
      <c r="K17" s="8">
        <v>4973</v>
      </c>
      <c r="L17" s="8">
        <v>4578</v>
      </c>
      <c r="M17" s="8">
        <v>5704</v>
      </c>
      <c r="N17" s="8">
        <f>N16*0.22</f>
        <v>6341.0867002999948</v>
      </c>
      <c r="O17" s="8">
        <f t="shared" ref="O17:U17" si="26">O16*0.22</f>
        <v>6936.5715520162303</v>
      </c>
      <c r="P17" s="8">
        <f t="shared" si="26"/>
        <v>7702.3171090082542</v>
      </c>
      <c r="Q17" s="8">
        <f t="shared" si="26"/>
        <v>8382.2823066031997</v>
      </c>
      <c r="R17" s="8">
        <f t="shared" si="26"/>
        <v>9325.8350420577917</v>
      </c>
      <c r="S17" s="8">
        <f t="shared" si="26"/>
        <v>10104.978569262219</v>
      </c>
      <c r="T17" s="8">
        <f t="shared" si="26"/>
        <v>10932.126562527212</v>
      </c>
      <c r="U17" s="8">
        <f t="shared" si="26"/>
        <v>11810.003950668521</v>
      </c>
    </row>
    <row r="18" spans="1:75" x14ac:dyDescent="0.3">
      <c r="A18" s="5" t="s">
        <v>27</v>
      </c>
      <c r="B18" s="5">
        <f t="shared" ref="B18:C18" si="27">B16-B17</f>
        <v>5148</v>
      </c>
      <c r="C18" s="5">
        <f t="shared" si="27"/>
        <v>5199</v>
      </c>
      <c r="D18" s="5">
        <f>D16-D17</f>
        <v>5384</v>
      </c>
      <c r="E18" s="5">
        <f t="shared" ref="E18:H18" si="28">E16-E17</f>
        <v>0</v>
      </c>
      <c r="F18" s="5">
        <f t="shared" si="28"/>
        <v>5774</v>
      </c>
      <c r="G18" s="5">
        <f t="shared" si="28"/>
        <v>5657</v>
      </c>
      <c r="H18" s="5">
        <f t="shared" si="28"/>
        <v>6038</v>
      </c>
      <c r="I18" s="5"/>
      <c r="J18" s="5"/>
      <c r="K18" s="9">
        <f t="shared" ref="K18:U18" si="29">K16-K17</f>
        <v>15769</v>
      </c>
      <c r="L18" s="9">
        <f t="shared" si="29"/>
        <v>17732</v>
      </c>
      <c r="M18" s="9">
        <f t="shared" si="29"/>
        <v>20639</v>
      </c>
      <c r="N18" s="9">
        <f t="shared" si="29"/>
        <v>22482.034664699982</v>
      </c>
      <c r="O18" s="9">
        <f t="shared" si="29"/>
        <v>24593.299138966635</v>
      </c>
      <c r="P18" s="9">
        <f t="shared" si="29"/>
        <v>27308.215204665627</v>
      </c>
      <c r="Q18" s="9">
        <f t="shared" si="29"/>
        <v>29719.000905229528</v>
      </c>
      <c r="R18" s="9">
        <f t="shared" si="29"/>
        <v>33064.324240023081</v>
      </c>
      <c r="S18" s="9">
        <f t="shared" si="29"/>
        <v>35826.742200111505</v>
      </c>
      <c r="T18" s="9">
        <f t="shared" si="29"/>
        <v>38759.357812596478</v>
      </c>
      <c r="U18" s="9">
        <f t="shared" si="29"/>
        <v>41871.832188733846</v>
      </c>
    </row>
    <row r="19" spans="1:75" x14ac:dyDescent="0.3">
      <c r="A19" t="s">
        <v>28</v>
      </c>
      <c r="B19">
        <v>121</v>
      </c>
      <c r="C19">
        <v>129</v>
      </c>
      <c r="D19">
        <v>122</v>
      </c>
      <c r="F19">
        <v>163</v>
      </c>
      <c r="G19">
        <v>183</v>
      </c>
      <c r="H19">
        <v>197</v>
      </c>
      <c r="K19" s="8">
        <v>366</v>
      </c>
      <c r="L19" s="8">
        <v>447</v>
      </c>
      <c r="M19" s="8">
        <v>519</v>
      </c>
      <c r="N19" s="8">
        <f>N18*0.0251</f>
        <v>564.29907008396958</v>
      </c>
      <c r="O19" s="8">
        <f t="shared" ref="O19:U19" si="30">O18*0.025</f>
        <v>614.8324784741659</v>
      </c>
      <c r="P19" s="8">
        <f t="shared" si="30"/>
        <v>682.70538011664075</v>
      </c>
      <c r="Q19" s="8">
        <f t="shared" si="30"/>
        <v>742.97502263073829</v>
      </c>
      <c r="R19" s="8">
        <f t="shared" si="30"/>
        <v>826.6081060005771</v>
      </c>
      <c r="S19" s="8">
        <f t="shared" si="30"/>
        <v>895.66855500278768</v>
      </c>
      <c r="T19" s="8">
        <f t="shared" si="30"/>
        <v>968.98394531491203</v>
      </c>
      <c r="U19" s="8">
        <f t="shared" si="30"/>
        <v>1046.7958047183463</v>
      </c>
    </row>
    <row r="20" spans="1:75" x14ac:dyDescent="0.3">
      <c r="A20" s="5" t="s">
        <v>29</v>
      </c>
      <c r="B20" s="5">
        <f t="shared" ref="B20:C20" si="31">B18-B19</f>
        <v>5027</v>
      </c>
      <c r="C20" s="5">
        <f t="shared" si="31"/>
        <v>5070</v>
      </c>
      <c r="D20" s="5">
        <f>D18-D19</f>
        <v>5262</v>
      </c>
      <c r="E20" s="5">
        <f t="shared" ref="E20:H20" si="32">E18-E19</f>
        <v>0</v>
      </c>
      <c r="F20" s="5">
        <f t="shared" si="32"/>
        <v>5611</v>
      </c>
      <c r="G20" s="5">
        <f t="shared" si="32"/>
        <v>5474</v>
      </c>
      <c r="H20" s="5">
        <f t="shared" si="32"/>
        <v>5841</v>
      </c>
      <c r="I20" s="5"/>
      <c r="J20" s="5"/>
      <c r="K20" s="9">
        <f t="shared" ref="K20:U20" si="33">K18-K19</f>
        <v>15403</v>
      </c>
      <c r="L20" s="9">
        <f t="shared" si="33"/>
        <v>17285</v>
      </c>
      <c r="M20" s="9">
        <f t="shared" si="33"/>
        <v>20120</v>
      </c>
      <c r="N20" s="9">
        <f t="shared" si="33"/>
        <v>21917.735594616013</v>
      </c>
      <c r="O20" s="9">
        <f t="shared" si="33"/>
        <v>23978.466660492468</v>
      </c>
      <c r="P20" s="9">
        <f t="shared" si="33"/>
        <v>26625.509824548986</v>
      </c>
      <c r="Q20" s="9">
        <f t="shared" si="33"/>
        <v>28976.025882598791</v>
      </c>
      <c r="R20" s="9">
        <f t="shared" si="33"/>
        <v>32237.716134022503</v>
      </c>
      <c r="S20" s="9">
        <f t="shared" si="33"/>
        <v>34931.073645108714</v>
      </c>
      <c r="T20" s="9">
        <f t="shared" si="33"/>
        <v>37790.373867281567</v>
      </c>
      <c r="U20" s="9">
        <f t="shared" si="33"/>
        <v>40825.036384015497</v>
      </c>
      <c r="V20" s="9">
        <f>U20*(1+$X$4)</f>
        <v>41641.537111695805</v>
      </c>
      <c r="W20" s="9">
        <f t="shared" ref="W20:BW20" si="34">V20*(1+$X$4)</f>
        <v>42474.367853929725</v>
      </c>
      <c r="X20" s="9">
        <f t="shared" si="34"/>
        <v>43323.855211008318</v>
      </c>
      <c r="Y20" s="9">
        <f t="shared" si="34"/>
        <v>44190.332315228487</v>
      </c>
      <c r="Z20" s="9">
        <f t="shared" si="34"/>
        <v>45074.138961533055</v>
      </c>
      <c r="AA20" s="9">
        <f t="shared" si="34"/>
        <v>45975.621740763716</v>
      </c>
      <c r="AB20" s="9">
        <f t="shared" si="34"/>
        <v>46895.134175578991</v>
      </c>
      <c r="AC20" s="9">
        <f t="shared" si="34"/>
        <v>47833.036859090571</v>
      </c>
      <c r="AD20" s="9">
        <f t="shared" si="34"/>
        <v>48789.697596272381</v>
      </c>
      <c r="AE20" s="9">
        <f t="shared" si="34"/>
        <v>49765.491548197831</v>
      </c>
      <c r="AF20" s="9">
        <f t="shared" si="34"/>
        <v>50760.801379161792</v>
      </c>
      <c r="AG20" s="9">
        <f t="shared" si="34"/>
        <v>51776.017406745028</v>
      </c>
      <c r="AH20" s="9">
        <f t="shared" si="34"/>
        <v>52811.53775487993</v>
      </c>
      <c r="AI20" s="9">
        <f t="shared" si="34"/>
        <v>53867.768509977526</v>
      </c>
      <c r="AJ20" s="9">
        <f t="shared" si="34"/>
        <v>54945.123880177074</v>
      </c>
      <c r="AK20" s="9">
        <f t="shared" si="34"/>
        <v>56044.026357780618</v>
      </c>
      <c r="AL20" s="9">
        <f t="shared" si="34"/>
        <v>57164.90688493623</v>
      </c>
      <c r="AM20" s="9">
        <f t="shared" si="34"/>
        <v>58308.205022634953</v>
      </c>
      <c r="AN20" s="9">
        <f t="shared" si="34"/>
        <v>59474.36912308765</v>
      </c>
      <c r="AO20" s="9">
        <f t="shared" si="34"/>
        <v>60663.856505549404</v>
      </c>
      <c r="AP20" s="9">
        <f t="shared" si="34"/>
        <v>61877.133635660393</v>
      </c>
      <c r="AQ20" s="9">
        <f t="shared" si="34"/>
        <v>63114.6763083736</v>
      </c>
      <c r="AR20" s="9">
        <f t="shared" si="34"/>
        <v>64376.969834541072</v>
      </c>
      <c r="AS20" s="9">
        <f t="shared" si="34"/>
        <v>65664.509231231888</v>
      </c>
      <c r="AT20" s="9">
        <f t="shared" si="34"/>
        <v>66977.799415856527</v>
      </c>
      <c r="AU20" s="9">
        <f t="shared" si="34"/>
        <v>68317.355404173664</v>
      </c>
      <c r="AV20" s="9">
        <f t="shared" si="34"/>
        <v>69683.702512257136</v>
      </c>
      <c r="AW20" s="9">
        <f t="shared" si="34"/>
        <v>71077.376562502279</v>
      </c>
      <c r="AX20" s="9">
        <f t="shared" si="34"/>
        <v>72498.924093752328</v>
      </c>
      <c r="AY20" s="9">
        <f t="shared" si="34"/>
        <v>73948.902575627377</v>
      </c>
      <c r="AZ20" s="9">
        <f t="shared" si="34"/>
        <v>75427.880627139923</v>
      </c>
      <c r="BA20" s="9">
        <f t="shared" si="34"/>
        <v>76936.438239682728</v>
      </c>
      <c r="BB20" s="9">
        <f t="shared" si="34"/>
        <v>78475.167004476389</v>
      </c>
      <c r="BC20" s="9">
        <f t="shared" si="34"/>
        <v>80044.670344565922</v>
      </c>
      <c r="BD20" s="9">
        <f t="shared" si="34"/>
        <v>81645.563751457245</v>
      </c>
      <c r="BE20" s="9">
        <f t="shared" si="34"/>
        <v>83278.475026486398</v>
      </c>
      <c r="BF20" s="9">
        <f t="shared" si="34"/>
        <v>84944.044527016129</v>
      </c>
      <c r="BG20" s="9">
        <f t="shared" si="34"/>
        <v>86642.925417556457</v>
      </c>
      <c r="BH20" s="9">
        <f t="shared" si="34"/>
        <v>88375.783925907584</v>
      </c>
      <c r="BI20" s="9">
        <f t="shared" si="34"/>
        <v>90143.299604425731</v>
      </c>
      <c r="BJ20" s="9">
        <f t="shared" si="34"/>
        <v>91946.165596514242</v>
      </c>
      <c r="BK20" s="9">
        <f t="shared" si="34"/>
        <v>93785.088908444523</v>
      </c>
      <c r="BL20" s="9">
        <f t="shared" si="34"/>
        <v>95660.790686613414</v>
      </c>
      <c r="BM20" s="9">
        <f t="shared" si="34"/>
        <v>97574.006500345684</v>
      </c>
      <c r="BN20" s="9">
        <f t="shared" si="34"/>
        <v>99525.486630352592</v>
      </c>
      <c r="BO20" s="9">
        <f t="shared" si="34"/>
        <v>101515.99636295965</v>
      </c>
      <c r="BP20" s="9">
        <f t="shared" si="34"/>
        <v>103546.31629021883</v>
      </c>
      <c r="BQ20" s="9">
        <f t="shared" si="34"/>
        <v>105617.24261602321</v>
      </c>
      <c r="BR20" s="9">
        <f t="shared" si="34"/>
        <v>107729.58746834369</v>
      </c>
      <c r="BS20" s="9">
        <f t="shared" si="34"/>
        <v>109884.17921771057</v>
      </c>
      <c r="BT20" s="9">
        <f t="shared" si="34"/>
        <v>112081.86280206477</v>
      </c>
      <c r="BU20" s="9">
        <f t="shared" si="34"/>
        <v>114323.50005810607</v>
      </c>
      <c r="BV20" s="9">
        <f t="shared" si="34"/>
        <v>116609.97005926819</v>
      </c>
      <c r="BW20" s="9">
        <f t="shared" si="34"/>
        <v>118942.16946045356</v>
      </c>
    </row>
    <row r="21" spans="1:75" x14ac:dyDescent="0.3">
      <c r="A21" t="s">
        <v>30</v>
      </c>
      <c r="B21">
        <v>954</v>
      </c>
      <c r="D21">
        <v>948</v>
      </c>
      <c r="E21">
        <v>932.846</v>
      </c>
      <c r="F21">
        <v>931.03200000000004</v>
      </c>
      <c r="H21">
        <v>936</v>
      </c>
      <c r="K21">
        <v>961</v>
      </c>
      <c r="L21">
        <v>956</v>
      </c>
      <c r="M21">
        <v>950</v>
      </c>
      <c r="N21">
        <f>M21*0.99</f>
        <v>940.5</v>
      </c>
      <c r="O21">
        <f t="shared" ref="O21:U21" si="35">N21*0.99</f>
        <v>931.09500000000003</v>
      </c>
      <c r="P21">
        <f t="shared" si="35"/>
        <v>921.78404999999998</v>
      </c>
      <c r="Q21">
        <f t="shared" si="35"/>
        <v>912.56620950000001</v>
      </c>
      <c r="R21">
        <f t="shared" si="35"/>
        <v>903.44054740499996</v>
      </c>
      <c r="S21">
        <f t="shared" si="35"/>
        <v>894.40614193094996</v>
      </c>
      <c r="T21">
        <f t="shared" si="35"/>
        <v>885.46208051164047</v>
      </c>
      <c r="U21">
        <f t="shared" si="35"/>
        <v>876.60745970652408</v>
      </c>
    </row>
    <row r="22" spans="1:75" x14ac:dyDescent="0.3">
      <c r="A22" t="s">
        <v>31</v>
      </c>
      <c r="B22" s="7">
        <f t="shared" ref="B22:G22" si="36">B20/B21</f>
        <v>5.2693920335429771</v>
      </c>
      <c r="C22" s="7" t="e">
        <f t="shared" si="36"/>
        <v>#DIV/0!</v>
      </c>
      <c r="D22" s="7">
        <f t="shared" si="36"/>
        <v>5.5506329113924053</v>
      </c>
      <c r="E22" s="7">
        <f t="shared" si="36"/>
        <v>0</v>
      </c>
      <c r="F22" s="7">
        <f>F20/F21</f>
        <v>6.0266457006848313</v>
      </c>
      <c r="G22" s="7" t="e">
        <f t="shared" si="36"/>
        <v>#DIV/0!</v>
      </c>
      <c r="H22" s="7">
        <f>H20/H21</f>
        <v>6.240384615384615</v>
      </c>
      <c r="K22" s="7">
        <f t="shared" ref="K22:U22" si="37">K20/K21</f>
        <v>16.028095733610822</v>
      </c>
      <c r="L22" s="7">
        <f t="shared" si="37"/>
        <v>18.080543933054393</v>
      </c>
      <c r="M22" s="7">
        <f t="shared" si="37"/>
        <v>21.178947368421053</v>
      </c>
      <c r="N22" s="7">
        <f t="shared" si="37"/>
        <v>23.304344066577368</v>
      </c>
      <c r="O22" s="7">
        <f t="shared" si="37"/>
        <v>25.752975432681378</v>
      </c>
      <c r="P22" s="7">
        <f t="shared" si="37"/>
        <v>28.884758663972313</v>
      </c>
      <c r="Q22" s="7">
        <f t="shared" si="37"/>
        <v>31.752245021733724</v>
      </c>
      <c r="R22" s="7">
        <f t="shared" si="37"/>
        <v>35.683273488909258</v>
      </c>
      <c r="S22" s="7">
        <f t="shared" si="37"/>
        <v>39.055046703609811</v>
      </c>
      <c r="T22" s="7">
        <f t="shared" si="37"/>
        <v>42.678703807898145</v>
      </c>
      <c r="U22" s="7">
        <f t="shared" si="37"/>
        <v>46.571627850033522</v>
      </c>
    </row>
    <row r="24" spans="1:75" x14ac:dyDescent="0.3">
      <c r="A24" t="s">
        <v>32</v>
      </c>
      <c r="B24" s="3"/>
      <c r="C24" s="3"/>
      <c r="D24" s="3"/>
      <c r="E24" s="3"/>
      <c r="F24" s="3">
        <f t="shared" ref="F24:G24" si="38">F6/B6-1</f>
        <v>0.14227519991978133</v>
      </c>
      <c r="G24" s="3">
        <f t="shared" si="38"/>
        <v>0.14681959593687921</v>
      </c>
      <c r="H24" s="3">
        <f>H6/D6-1</f>
        <v>0.13663676739527997</v>
      </c>
      <c r="K24" s="3">
        <f t="shared" ref="K24:U24" si="39">K6/G6-1</f>
        <v>1.7851026277944828</v>
      </c>
      <c r="L24" s="3">
        <f t="shared" si="39"/>
        <v>2.1223786173985375</v>
      </c>
      <c r="M24" s="3" t="e">
        <f t="shared" si="39"/>
        <v>#DIV/0!</v>
      </c>
      <c r="N24" s="3" t="e">
        <f t="shared" si="39"/>
        <v>#DIV/0!</v>
      </c>
      <c r="O24" s="3">
        <f t="shared" si="39"/>
        <v>0.39508088483897197</v>
      </c>
      <c r="P24" s="3">
        <f t="shared" si="39"/>
        <v>0.31493423051129588</v>
      </c>
      <c r="Q24" s="3">
        <f t="shared" si="39"/>
        <v>0.22483780488635086</v>
      </c>
      <c r="R24" s="3">
        <f t="shared" si="39"/>
        <v>0.22397276350497397</v>
      </c>
      <c r="S24" s="3">
        <f t="shared" si="39"/>
        <v>0.22407998494384263</v>
      </c>
      <c r="T24" s="3">
        <f t="shared" si="39"/>
        <v>0.22418635671446485</v>
      </c>
      <c r="U24" s="3">
        <f t="shared" si="39"/>
        <v>0.22429188142785605</v>
      </c>
    </row>
    <row r="25" spans="1:75" x14ac:dyDescent="0.3">
      <c r="A25" s="5" t="s">
        <v>33</v>
      </c>
      <c r="B25" s="10">
        <f t="shared" ref="B25:G25" si="40">(B3-B9)/B3</f>
        <v>0.18022475417512096</v>
      </c>
      <c r="C25" s="10">
        <f t="shared" si="40"/>
        <v>0.18472204832853387</v>
      </c>
      <c r="D25" s="10">
        <f>(D3-D9)/D3</f>
        <v>0.18383960552635251</v>
      </c>
      <c r="E25" s="10" t="e">
        <f t="shared" si="40"/>
        <v>#DIV/0!</v>
      </c>
      <c r="F25" s="10">
        <f t="shared" si="40"/>
        <v>0.17779518039183359</v>
      </c>
      <c r="G25" s="10">
        <f t="shared" si="40"/>
        <v>0.1684190192344841</v>
      </c>
      <c r="H25" s="10">
        <f>(H3-H9)/H3</f>
        <v>0.17679260150126488</v>
      </c>
      <c r="I25" s="5"/>
      <c r="J25" s="5"/>
      <c r="K25" s="10">
        <f t="shared" ref="K25:U25" si="41">(K3-K9)/K3</f>
        <v>0.20886647673691419</v>
      </c>
      <c r="L25" s="10">
        <f t="shared" si="41"/>
        <v>0.17381195493142026</v>
      </c>
      <c r="M25" s="10">
        <f t="shared" si="41"/>
        <v>0.18010398316981455</v>
      </c>
      <c r="N25" s="10">
        <f t="shared" si="41"/>
        <v>0.17999999999999997</v>
      </c>
      <c r="O25" s="10">
        <f t="shared" si="41"/>
        <v>0.17999999999999991</v>
      </c>
      <c r="P25" s="10">
        <f t="shared" si="41"/>
        <v>0.18199999999999997</v>
      </c>
      <c r="Q25" s="10">
        <f t="shared" si="41"/>
        <v>0.18199999999999997</v>
      </c>
      <c r="R25" s="10">
        <f t="shared" si="41"/>
        <v>0.18500000000000003</v>
      </c>
      <c r="S25" s="10">
        <f t="shared" si="41"/>
        <v>0.18500000000000003</v>
      </c>
      <c r="T25" s="10">
        <f t="shared" si="41"/>
        <v>0.18500000000000008</v>
      </c>
      <c r="U25" s="10">
        <f t="shared" si="41"/>
        <v>0.18500000000000005</v>
      </c>
    </row>
    <row r="26" spans="1:75" x14ac:dyDescent="0.3">
      <c r="A26" t="s">
        <v>52</v>
      </c>
      <c r="B26" s="4">
        <f>B20/B8</f>
        <v>6.2720682728418325E-2</v>
      </c>
      <c r="C26" s="4">
        <f t="shared" ref="C26:H26" si="42">C20/C8</f>
        <v>6.3113080715032618E-2</v>
      </c>
      <c r="D26" s="4">
        <f t="shared" si="42"/>
        <v>6.504808762083715E-2</v>
      </c>
      <c r="E26" s="4" t="e">
        <f t="shared" si="42"/>
        <v>#DIV/0!</v>
      </c>
      <c r="F26" s="4">
        <f t="shared" si="42"/>
        <v>6.1034906614743666E-2</v>
      </c>
      <c r="G26" s="4">
        <f t="shared" si="42"/>
        <v>5.8921670990172544E-2</v>
      </c>
      <c r="H26" s="4">
        <f t="shared" si="42"/>
        <v>6.3240978335011536E-2</v>
      </c>
      <c r="I26" s="4"/>
      <c r="J26" s="4"/>
      <c r="K26" s="4">
        <f t="shared" ref="K26:U26" si="43">K20/K8</f>
        <v>5.9900988173803481E-2</v>
      </c>
      <c r="L26" s="4">
        <f t="shared" si="43"/>
        <v>6.0101461419973086E-2</v>
      </c>
      <c r="M26" s="4">
        <f t="shared" si="43"/>
        <v>6.2067731566315607E-2</v>
      </c>
      <c r="N26" s="4">
        <f t="shared" si="43"/>
        <v>6.4243313045156555E-2</v>
      </c>
      <c r="O26" s="4">
        <f t="shared" si="43"/>
        <v>6.6831347740250097E-2</v>
      </c>
      <c r="P26" s="4">
        <f t="shared" si="43"/>
        <v>7.0562279902756847E-2</v>
      </c>
      <c r="Q26" s="4">
        <f t="shared" si="43"/>
        <v>7.3016119053119458E-2</v>
      </c>
      <c r="R26" s="4">
        <f t="shared" si="43"/>
        <v>7.7239407019512707E-2</v>
      </c>
      <c r="S26" s="4">
        <f t="shared" si="43"/>
        <v>7.9573950526119944E-2</v>
      </c>
      <c r="T26" s="4">
        <f t="shared" si="43"/>
        <v>8.1849149446887634E-2</v>
      </c>
      <c r="U26" s="4">
        <f t="shared" si="43"/>
        <v>8.4066570229966914E-2</v>
      </c>
    </row>
    <row r="28" spans="1:75" x14ac:dyDescent="0.3">
      <c r="A28" t="s">
        <v>34</v>
      </c>
      <c r="D28">
        <f>23365+4546-3110-54513</f>
        <v>-29712</v>
      </c>
      <c r="F28">
        <f>41913+4584-9931-60657</f>
        <v>-24091</v>
      </c>
      <c r="H28">
        <f>38915+5182-5290-58079</f>
        <v>-19272</v>
      </c>
      <c r="L28">
        <f>21375+2532-3620-42383</f>
        <v>-22096</v>
      </c>
      <c r="M28">
        <f>23365+4546-3110-54513</f>
        <v>-29712</v>
      </c>
    </row>
    <row r="30" spans="1:75" x14ac:dyDescent="0.3">
      <c r="A30" t="s">
        <v>35</v>
      </c>
      <c r="B30">
        <v>5319</v>
      </c>
      <c r="C30">
        <v>12190</v>
      </c>
      <c r="D30">
        <v>30739</v>
      </c>
      <c r="F30">
        <v>16327</v>
      </c>
      <c r="G30">
        <v>27359</v>
      </c>
      <c r="H30">
        <v>34261</v>
      </c>
      <c r="K30">
        <v>22174</v>
      </c>
      <c r="L30">
        <v>22343</v>
      </c>
      <c r="M30">
        <v>26206</v>
      </c>
    </row>
    <row r="31" spans="1:75" x14ac:dyDescent="0.3">
      <c r="A31" t="s">
        <v>36</v>
      </c>
      <c r="B31">
        <v>555</v>
      </c>
      <c r="C31">
        <v>1212</v>
      </c>
      <c r="D31">
        <v>1936</v>
      </c>
      <c r="F31">
        <v>760</v>
      </c>
      <c r="G31">
        <v>1589</v>
      </c>
      <c r="H31">
        <v>2427</v>
      </c>
      <c r="K31">
        <v>2051</v>
      </c>
      <c r="L31">
        <v>2454</v>
      </c>
      <c r="M31">
        <v>2802</v>
      </c>
    </row>
    <row r="32" spans="1:75" x14ac:dyDescent="0.3">
      <c r="A32" s="5" t="s">
        <v>37</v>
      </c>
      <c r="B32" s="5">
        <f t="shared" ref="B32:G32" si="44">B30-B31</f>
        <v>4764</v>
      </c>
      <c r="C32" s="5">
        <f t="shared" si="44"/>
        <v>10978</v>
      </c>
      <c r="D32" s="5">
        <f t="shared" si="44"/>
        <v>28803</v>
      </c>
      <c r="E32" s="5">
        <f t="shared" si="44"/>
        <v>0</v>
      </c>
      <c r="F32" s="5">
        <f t="shared" si="44"/>
        <v>15567</v>
      </c>
      <c r="G32" s="5">
        <f t="shared" si="44"/>
        <v>25770</v>
      </c>
      <c r="H32" s="5">
        <f>H30-H31</f>
        <v>31834</v>
      </c>
      <c r="I32" s="5"/>
      <c r="J32" s="5"/>
      <c r="K32" s="5">
        <f t="shared" ref="K32:U32" si="45">K30-K31</f>
        <v>20123</v>
      </c>
      <c r="L32" s="5">
        <f t="shared" si="45"/>
        <v>19889</v>
      </c>
      <c r="M32" s="5">
        <f t="shared" si="45"/>
        <v>23404</v>
      </c>
      <c r="N32" s="5">
        <f t="shared" si="45"/>
        <v>0</v>
      </c>
      <c r="O32" s="5">
        <f t="shared" si="45"/>
        <v>0</v>
      </c>
      <c r="P32" s="5">
        <f t="shared" si="45"/>
        <v>0</v>
      </c>
      <c r="Q32" s="5">
        <f t="shared" si="45"/>
        <v>0</v>
      </c>
      <c r="R32" s="5">
        <f t="shared" si="45"/>
        <v>0</v>
      </c>
      <c r="S32" s="5">
        <f t="shared" si="45"/>
        <v>0</v>
      </c>
      <c r="T32" s="5">
        <f t="shared" si="45"/>
        <v>0</v>
      </c>
      <c r="U32" s="5">
        <f t="shared" si="45"/>
        <v>0</v>
      </c>
    </row>
    <row r="33" spans="1:21" x14ac:dyDescent="0.3">
      <c r="A33" t="s">
        <v>38</v>
      </c>
      <c r="B33">
        <v>1363</v>
      </c>
      <c r="C33">
        <v>2908</v>
      </c>
      <c r="D33">
        <v>4450</v>
      </c>
      <c r="F33">
        <v>1537</v>
      </c>
      <c r="G33">
        <v>3284</v>
      </c>
      <c r="H33">
        <v>5023</v>
      </c>
      <c r="K33">
        <v>4584</v>
      </c>
      <c r="L33">
        <v>5280</v>
      </c>
      <c r="M33">
        <v>5991</v>
      </c>
    </row>
    <row r="34" spans="1:21" x14ac:dyDescent="0.3">
      <c r="A34" t="s">
        <v>39</v>
      </c>
      <c r="B34" s="4">
        <f t="shared" ref="B34:C34" si="46">B33/B32</f>
        <v>0.28610411418975651</v>
      </c>
      <c r="C34" s="4">
        <f t="shared" si="46"/>
        <v>0.26489342321005649</v>
      </c>
      <c r="D34" s="4">
        <f>D33/D32</f>
        <v>0.154497795368538</v>
      </c>
      <c r="E34" s="4" t="e">
        <f t="shared" ref="E34:H34" si="47">E33/E32</f>
        <v>#DIV/0!</v>
      </c>
      <c r="F34" s="4">
        <f t="shared" si="47"/>
        <v>9.8734502473180441E-2</v>
      </c>
      <c r="G34" s="4">
        <f t="shared" si="47"/>
        <v>0.1274350019402406</v>
      </c>
      <c r="H34" s="4">
        <f t="shared" si="47"/>
        <v>0.15778727147075453</v>
      </c>
      <c r="K34" s="4">
        <f t="shared" ref="K34:U34" si="48">K33/K32</f>
        <v>0.22779903592903641</v>
      </c>
      <c r="L34" s="4">
        <f t="shared" si="48"/>
        <v>0.26547337724370257</v>
      </c>
      <c r="M34" s="4">
        <f t="shared" si="48"/>
        <v>0.25598188343872841</v>
      </c>
      <c r="N34" s="4" t="e">
        <f t="shared" si="48"/>
        <v>#DIV/0!</v>
      </c>
      <c r="O34" s="4" t="e">
        <f t="shared" si="48"/>
        <v>#DIV/0!</v>
      </c>
      <c r="P34" s="4" t="e">
        <f t="shared" si="48"/>
        <v>#DIV/0!</v>
      </c>
      <c r="Q34" s="4" t="e">
        <f t="shared" si="48"/>
        <v>#DIV/0!</v>
      </c>
      <c r="R34" s="4" t="e">
        <f t="shared" si="48"/>
        <v>#DIV/0!</v>
      </c>
      <c r="S34" s="4" t="e">
        <f t="shared" si="48"/>
        <v>#DIV/0!</v>
      </c>
      <c r="T34" s="4" t="e">
        <f t="shared" si="48"/>
        <v>#DIV/0!</v>
      </c>
      <c r="U34" s="4" t="e">
        <f t="shared" si="48"/>
        <v>#DIV/0!</v>
      </c>
    </row>
    <row r="36" spans="1:21" x14ac:dyDescent="0.3">
      <c r="A36" t="s">
        <v>45</v>
      </c>
      <c r="B36">
        <v>50.965000000000003</v>
      </c>
      <c r="C36">
        <v>51.244999999999997</v>
      </c>
      <c r="D36">
        <v>51.325000000000003</v>
      </c>
      <c r="F36">
        <v>52.89</v>
      </c>
      <c r="G36">
        <v>52.835000000000001</v>
      </c>
      <c r="H36">
        <v>52.78</v>
      </c>
      <c r="K36">
        <v>48.435000000000002</v>
      </c>
      <c r="L36">
        <v>50.63</v>
      </c>
      <c r="M36">
        <v>51.695</v>
      </c>
      <c r="N36">
        <f>M36*1.005</f>
        <v>51.953474999999997</v>
      </c>
      <c r="O36">
        <f>N36*1.004</f>
        <v>52.161288899999995</v>
      </c>
      <c r="P36">
        <f t="shared" ref="P36:U36" si="49">O36*1.004</f>
        <v>52.369934055599998</v>
      </c>
      <c r="Q36">
        <f t="shared" si="49"/>
        <v>52.579413791822397</v>
      </c>
      <c r="R36">
        <f t="shared" si="49"/>
        <v>52.789731446989684</v>
      </c>
      <c r="S36">
        <f t="shared" si="49"/>
        <v>53.00089037277764</v>
      </c>
      <c r="T36">
        <f t="shared" si="49"/>
        <v>53.212893934268749</v>
      </c>
      <c r="U36">
        <f t="shared" si="49"/>
        <v>53.425745510005825</v>
      </c>
    </row>
    <row r="37" spans="1:21" x14ac:dyDescent="0.3">
      <c r="A37" t="s">
        <v>51</v>
      </c>
      <c r="B37" s="4"/>
      <c r="C37" s="4">
        <f>C36/B36-1</f>
        <v>5.4939664475619487E-3</v>
      </c>
      <c r="D37" s="4">
        <f t="shared" ref="D37:H37" si="50">D36/C36-1</f>
        <v>1.5611279149185808E-3</v>
      </c>
      <c r="E37" s="4">
        <f t="shared" si="50"/>
        <v>-1</v>
      </c>
      <c r="F37" s="4" t="e">
        <f t="shared" si="50"/>
        <v>#DIV/0!</v>
      </c>
      <c r="G37" s="4">
        <f t="shared" si="50"/>
        <v>-1.0398941198713763E-3</v>
      </c>
      <c r="H37" s="4">
        <f t="shared" si="50"/>
        <v>-1.0409766253430819E-3</v>
      </c>
      <c r="I37" s="4"/>
      <c r="J37" s="4"/>
      <c r="K37" s="4"/>
      <c r="L37" s="4">
        <f t="shared" ref="L37:U37" si="51">L36/K36-1</f>
        <v>4.5318468049963867E-2</v>
      </c>
      <c r="M37" s="4">
        <f t="shared" si="51"/>
        <v>2.1034959510171758E-2</v>
      </c>
      <c r="N37" s="4">
        <f t="shared" si="51"/>
        <v>4.9999999999998934E-3</v>
      </c>
      <c r="O37" s="4">
        <f t="shared" si="51"/>
        <v>4.0000000000000036E-3</v>
      </c>
      <c r="P37" s="4">
        <f t="shared" si="51"/>
        <v>4.0000000000000036E-3</v>
      </c>
      <c r="Q37" s="4">
        <f t="shared" si="51"/>
        <v>4.0000000000000036E-3</v>
      </c>
      <c r="R37" s="4">
        <f t="shared" si="51"/>
        <v>4.0000000000000036E-3</v>
      </c>
      <c r="S37" s="4">
        <f t="shared" si="51"/>
        <v>4.0000000000000036E-3</v>
      </c>
      <c r="T37" s="4">
        <f t="shared" si="51"/>
        <v>4.0000000000000036E-3</v>
      </c>
      <c r="U37" s="4">
        <f t="shared" si="51"/>
        <v>4.0000000000000036E-3</v>
      </c>
    </row>
    <row r="38" spans="1:21" x14ac:dyDescent="0.3">
      <c r="A38" t="s">
        <v>46</v>
      </c>
      <c r="B38">
        <f t="shared" ref="B38" si="52">B3/B36</f>
        <v>1257.1372510546453</v>
      </c>
      <c r="C38">
        <f>C3/C36</f>
        <v>1246.8728656454289</v>
      </c>
      <c r="D38">
        <f>D3/D36</f>
        <v>1256.522162688748</v>
      </c>
      <c r="E38" t="e">
        <f t="shared" ref="E38:H38" si="53">E3/E36</f>
        <v>#DIV/0!</v>
      </c>
      <c r="F38">
        <f t="shared" si="53"/>
        <v>1376.1769710720364</v>
      </c>
      <c r="G38">
        <f t="shared" si="53"/>
        <v>1371.7043626384025</v>
      </c>
      <c r="H38">
        <f t="shared" si="53"/>
        <v>1370.5759757483895</v>
      </c>
      <c r="K38">
        <f t="shared" ref="K38" si="54">K3/K36</f>
        <v>4159.7605037679359</v>
      </c>
      <c r="L38">
        <f t="shared" ref="L38" si="55">L3/L36</f>
        <v>4468.3586806241356</v>
      </c>
      <c r="M38">
        <f t="shared" ref="M38" si="56">M3/M36</f>
        <v>4974.5043040913051</v>
      </c>
      <c r="N38">
        <f>M38*1.05</f>
        <v>5223.2295192958709</v>
      </c>
      <c r="O38">
        <f t="shared" ref="O38:U38" si="57">N38*1.05</f>
        <v>5484.3909952606646</v>
      </c>
      <c r="P38">
        <f t="shared" si="57"/>
        <v>5758.6105450236983</v>
      </c>
      <c r="Q38">
        <f t="shared" si="57"/>
        <v>6046.5410722748838</v>
      </c>
      <c r="R38">
        <f t="shared" si="57"/>
        <v>6348.8681258886281</v>
      </c>
      <c r="S38">
        <f t="shared" si="57"/>
        <v>6666.3115321830601</v>
      </c>
      <c r="T38">
        <f t="shared" si="57"/>
        <v>6999.6271087922132</v>
      </c>
      <c r="U38">
        <f t="shared" si="57"/>
        <v>7349.6084642318237</v>
      </c>
    </row>
    <row r="39" spans="1:21" x14ac:dyDescent="0.3">
      <c r="A39" t="s">
        <v>50</v>
      </c>
      <c r="C39" s="4">
        <f>C38/B38-1</f>
        <v>-8.164888440466922E-3</v>
      </c>
      <c r="D39" s="4">
        <f t="shared" ref="D39:H39" si="58">D38/C38-1</f>
        <v>7.7387978431340265E-3</v>
      </c>
      <c r="E39" s="4" t="e">
        <f t="shared" si="58"/>
        <v>#DIV/0!</v>
      </c>
      <c r="F39" s="4" t="e">
        <f t="shared" si="58"/>
        <v>#DIV/0!</v>
      </c>
      <c r="G39" s="4">
        <f t="shared" si="58"/>
        <v>-3.2500241812285502E-3</v>
      </c>
      <c r="H39" s="4">
        <f t="shared" si="58"/>
        <v>-8.2261668093153162E-4</v>
      </c>
      <c r="I39" s="4"/>
      <c r="J39" s="4"/>
      <c r="K39" s="4"/>
      <c r="L39" s="4">
        <f t="shared" ref="L39:U39" si="59">L38/K38-1</f>
        <v>7.4186525059957154E-2</v>
      </c>
      <c r="M39" s="4">
        <f t="shared" si="59"/>
        <v>0.11327327541138033</v>
      </c>
      <c r="N39" s="4">
        <f t="shared" si="59"/>
        <v>5.0000000000000044E-2</v>
      </c>
      <c r="O39" s="4">
        <f t="shared" si="59"/>
        <v>5.0000000000000044E-2</v>
      </c>
      <c r="P39" s="4">
        <f t="shared" si="59"/>
        <v>5.0000000000000044E-2</v>
      </c>
      <c r="Q39" s="4">
        <f t="shared" si="59"/>
        <v>5.0000000000000044E-2</v>
      </c>
      <c r="R39" s="4">
        <f t="shared" si="59"/>
        <v>5.0000000000000044E-2</v>
      </c>
      <c r="S39" s="4">
        <f t="shared" si="59"/>
        <v>5.0000000000000044E-2</v>
      </c>
      <c r="T39" s="4">
        <f t="shared" si="59"/>
        <v>5.0000000000000044E-2</v>
      </c>
      <c r="U39" s="4">
        <f t="shared" si="59"/>
        <v>5.0000000000000044E-2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2023-12-23T10:45:07Z</dcterms:created>
  <dcterms:modified xsi:type="dcterms:W3CDTF">2024-04-11T18:16:48Z</dcterms:modified>
</cp:coreProperties>
</file>