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269" documentId="8_{48E2B7FD-80C4-42A4-91E3-AB278F3204EC}" xr6:coauthVersionLast="47" xr6:coauthVersionMax="47" xr10:uidLastSave="{467C50CB-D2F4-43BC-AD10-A4BDD1B66FF4}"/>
  <bookViews>
    <workbookView xWindow="-108" yWindow="-108" windowWidth="23256" windowHeight="12456" activeTab="1" xr2:uid="{C6FC9301-A698-465D-BD02-275414B6B63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2" l="1"/>
  <c r="P4" i="2" s="1"/>
  <c r="Q4" i="2" s="1"/>
  <c r="R4" i="2" s="1"/>
  <c r="S4" i="2" s="1"/>
  <c r="T4" i="2" s="1"/>
  <c r="U4" i="2" s="1"/>
  <c r="N4" i="2"/>
  <c r="O3" i="2"/>
  <c r="P3" i="2" s="1"/>
  <c r="Q3" i="2" s="1"/>
  <c r="R3" i="2" s="1"/>
  <c r="S3" i="2" s="1"/>
  <c r="T3" i="2" s="1"/>
  <c r="U3" i="2" s="1"/>
  <c r="N3" i="2"/>
  <c r="X6" i="2"/>
  <c r="O20" i="2"/>
  <c r="P20" i="2" s="1"/>
  <c r="Q20" i="2" s="1"/>
  <c r="R20" i="2" s="1"/>
  <c r="S20" i="2" s="1"/>
  <c r="T20" i="2" s="1"/>
  <c r="U20" i="2" s="1"/>
  <c r="N20" i="2"/>
  <c r="O11" i="2"/>
  <c r="P11" i="2" s="1"/>
  <c r="Q11" i="2" s="1"/>
  <c r="R11" i="2" s="1"/>
  <c r="S11" i="2" s="1"/>
  <c r="T11" i="2" s="1"/>
  <c r="U11" i="2" s="1"/>
  <c r="N11" i="2"/>
  <c r="O10" i="2"/>
  <c r="P10" i="2" s="1"/>
  <c r="Q10" i="2" s="1"/>
  <c r="R10" i="2" s="1"/>
  <c r="S10" i="2" s="1"/>
  <c r="T10" i="2" s="1"/>
  <c r="U10" i="2" s="1"/>
  <c r="N10" i="2"/>
  <c r="O16" i="2"/>
  <c r="P16" i="2" s="1"/>
  <c r="Q16" i="2" s="1"/>
  <c r="R16" i="2" s="1"/>
  <c r="S16" i="2" s="1"/>
  <c r="T16" i="2" s="1"/>
  <c r="U16" i="2" s="1"/>
  <c r="N16" i="2"/>
  <c r="O15" i="2"/>
  <c r="P15" i="2" s="1"/>
  <c r="Q15" i="2" s="1"/>
  <c r="R15" i="2" s="1"/>
  <c r="S15" i="2" s="1"/>
  <c r="T15" i="2" s="1"/>
  <c r="U15" i="2" s="1"/>
  <c r="N15" i="2"/>
  <c r="O8" i="2"/>
  <c r="P8" i="2" s="1"/>
  <c r="Q8" i="2" s="1"/>
  <c r="R8" i="2" s="1"/>
  <c r="S8" i="2" s="1"/>
  <c r="T8" i="2" s="1"/>
  <c r="U8" i="2" s="1"/>
  <c r="N8" i="2"/>
  <c r="O6" i="2"/>
  <c r="P6" i="2" s="1"/>
  <c r="Q6" i="2" s="1"/>
  <c r="R6" i="2" s="1"/>
  <c r="S6" i="2" s="1"/>
  <c r="T6" i="2" s="1"/>
  <c r="U6" i="2" s="1"/>
  <c r="N6" i="2"/>
  <c r="O5" i="2"/>
  <c r="P5" i="2" s="1"/>
  <c r="Q5" i="2" s="1"/>
  <c r="R5" i="2" s="1"/>
  <c r="S5" i="2" s="1"/>
  <c r="T5" i="2" s="1"/>
  <c r="U5" i="2" s="1"/>
  <c r="N5" i="2"/>
  <c r="M30" i="2"/>
  <c r="M29" i="2"/>
  <c r="M28" i="2"/>
  <c r="L30" i="2"/>
  <c r="L29" i="2"/>
  <c r="L28" i="2"/>
  <c r="L27" i="2"/>
  <c r="M27" i="2"/>
  <c r="L25" i="2"/>
  <c r="M25" i="2"/>
  <c r="M13" i="2"/>
  <c r="L13" i="2"/>
  <c r="M7" i="2"/>
  <c r="M9" i="2" s="1"/>
  <c r="M14" i="2" s="1"/>
  <c r="L7" i="2"/>
  <c r="L9" i="2" s="1"/>
  <c r="L14" i="2" s="1"/>
  <c r="J7" i="2"/>
  <c r="J9" i="2" s="1"/>
  <c r="J14" i="2" s="1"/>
  <c r="J17" i="2" s="1"/>
  <c r="J19" i="2" s="1"/>
  <c r="J21" i="2" s="1"/>
  <c r="O2" i="2"/>
  <c r="P2" i="2" s="1"/>
  <c r="Q2" i="2" s="1"/>
  <c r="R2" i="2" s="1"/>
  <c r="S2" i="2" s="1"/>
  <c r="T2" i="2" s="1"/>
  <c r="U2" i="2" s="1"/>
  <c r="N2" i="2"/>
  <c r="G29" i="2"/>
  <c r="I25" i="2"/>
  <c r="H25" i="2"/>
  <c r="F25" i="2"/>
  <c r="E25" i="2"/>
  <c r="D25" i="2"/>
  <c r="C25" i="2"/>
  <c r="G25" i="2"/>
  <c r="D15" i="2"/>
  <c r="H15" i="2"/>
  <c r="H27" i="2"/>
  <c r="F30" i="2"/>
  <c r="E30" i="2"/>
  <c r="F29" i="2"/>
  <c r="E29" i="2"/>
  <c r="F28" i="2"/>
  <c r="E28" i="2"/>
  <c r="I27" i="2"/>
  <c r="H7" i="2"/>
  <c r="H9" i="2" s="1"/>
  <c r="G7" i="2"/>
  <c r="F7" i="2"/>
  <c r="E7" i="2"/>
  <c r="E9" i="2" s="1"/>
  <c r="E14" i="2" s="1"/>
  <c r="D7" i="2"/>
  <c r="D9" i="2" s="1"/>
  <c r="D28" i="2" s="1"/>
  <c r="C7" i="2"/>
  <c r="C9" i="2" s="1"/>
  <c r="C28" i="2" s="1"/>
  <c r="I7" i="2"/>
  <c r="I9" i="2" s="1"/>
  <c r="I28" i="2" s="1"/>
  <c r="E15" i="2"/>
  <c r="H13" i="2"/>
  <c r="G13" i="2"/>
  <c r="F13" i="2"/>
  <c r="E13" i="2"/>
  <c r="D13" i="2"/>
  <c r="C13" i="2"/>
  <c r="I15" i="2"/>
  <c r="I13" i="2"/>
  <c r="F9" i="2"/>
  <c r="B2" i="1" a="1"/>
  <c r="B2" i="1" s="1"/>
  <c r="B4" i="1" s="1"/>
  <c r="B7" i="1" s="1"/>
  <c r="O7" i="2" l="1"/>
  <c r="N7" i="2"/>
  <c r="M17" i="2"/>
  <c r="M19" i="2" s="1"/>
  <c r="M21" i="2" s="1"/>
  <c r="L17" i="2"/>
  <c r="L19" i="2" s="1"/>
  <c r="L21" i="2" s="1"/>
  <c r="G27" i="2"/>
  <c r="G9" i="2"/>
  <c r="G28" i="2" s="1"/>
  <c r="C14" i="2"/>
  <c r="C17" i="2" s="1"/>
  <c r="C19" i="2" s="1"/>
  <c r="C21" i="2" s="1"/>
  <c r="I14" i="2"/>
  <c r="I29" i="2" s="1"/>
  <c r="H14" i="2"/>
  <c r="H28" i="2"/>
  <c r="F14" i="2"/>
  <c r="F17" i="2" s="1"/>
  <c r="F19" i="2" s="1"/>
  <c r="F21" i="2" s="1"/>
  <c r="D14" i="2"/>
  <c r="E17" i="2"/>
  <c r="E19" i="2" s="1"/>
  <c r="E21" i="2" s="1"/>
  <c r="O27" i="2" l="1"/>
  <c r="N12" i="2"/>
  <c r="N13" i="2" s="1"/>
  <c r="O9" i="2"/>
  <c r="O28" i="2" s="1"/>
  <c r="O12" i="2"/>
  <c r="O13" i="2" s="1"/>
  <c r="O14" i="2" s="1"/>
  <c r="O29" i="2" s="1"/>
  <c r="N9" i="2"/>
  <c r="N28" i="2" s="1"/>
  <c r="N27" i="2"/>
  <c r="P7" i="2"/>
  <c r="Q7" i="2"/>
  <c r="R7" i="2"/>
  <c r="R12" i="2" s="1"/>
  <c r="G14" i="2"/>
  <c r="G17" i="2" s="1"/>
  <c r="G19" i="2" s="1"/>
  <c r="C30" i="2"/>
  <c r="C29" i="2"/>
  <c r="I17" i="2"/>
  <c r="I19" i="2" s="1"/>
  <c r="D17" i="2"/>
  <c r="D19" i="2" s="1"/>
  <c r="D29" i="2"/>
  <c r="H17" i="2"/>
  <c r="H19" i="2" s="1"/>
  <c r="H29" i="2"/>
  <c r="Q9" i="2" l="1"/>
  <c r="Q28" i="2" s="1"/>
  <c r="Q12" i="2"/>
  <c r="Q13" i="2" s="1"/>
  <c r="P9" i="2"/>
  <c r="P28" i="2" s="1"/>
  <c r="P12" i="2"/>
  <c r="P13" i="2" s="1"/>
  <c r="P14" i="2" s="1"/>
  <c r="O17" i="2"/>
  <c r="N14" i="2"/>
  <c r="N29" i="2" s="1"/>
  <c r="P27" i="2"/>
  <c r="Q27" i="2"/>
  <c r="S7" i="2"/>
  <c r="S12" i="2" s="1"/>
  <c r="R9" i="2"/>
  <c r="R28" i="2" s="1"/>
  <c r="R27" i="2"/>
  <c r="G21" i="2"/>
  <c r="G30" i="2"/>
  <c r="I21" i="2"/>
  <c r="I30" i="2"/>
  <c r="D21" i="2"/>
  <c r="D30" i="2"/>
  <c r="H21" i="2"/>
  <c r="H30" i="2"/>
  <c r="O18" i="2" l="1"/>
  <c r="O19" i="2" s="1"/>
  <c r="Q14" i="2"/>
  <c r="Q29" i="2" s="1"/>
  <c r="R13" i="2"/>
  <c r="R14" i="2" s="1"/>
  <c r="N17" i="2"/>
  <c r="P17" i="2"/>
  <c r="P29" i="2"/>
  <c r="S27" i="2"/>
  <c r="S9" i="2"/>
  <c r="S28" i="2" s="1"/>
  <c r="U7" i="2"/>
  <c r="U12" i="2" s="1"/>
  <c r="T7" i="2"/>
  <c r="T12" i="2" s="1"/>
  <c r="O21" i="2" l="1"/>
  <c r="O30" i="2"/>
  <c r="P18" i="2"/>
  <c r="P19" i="2" s="1"/>
  <c r="Q17" i="2"/>
  <c r="N18" i="2"/>
  <c r="N19" i="2" s="1"/>
  <c r="S13" i="2"/>
  <c r="S14" i="2" s="1"/>
  <c r="S29" i="2" s="1"/>
  <c r="T27" i="2"/>
  <c r="T9" i="2"/>
  <c r="U27" i="2"/>
  <c r="U9" i="2"/>
  <c r="R17" i="2"/>
  <c r="R29" i="2"/>
  <c r="P30" i="2" l="1"/>
  <c r="P21" i="2"/>
  <c r="R18" i="2"/>
  <c r="R19" i="2" s="1"/>
  <c r="Q18" i="2"/>
  <c r="Q19" i="2" s="1"/>
  <c r="N21" i="2"/>
  <c r="N30" i="2"/>
  <c r="U13" i="2"/>
  <c r="U14" i="2" s="1"/>
  <c r="T13" i="2"/>
  <c r="T14" i="2" s="1"/>
  <c r="S17" i="2"/>
  <c r="U28" i="2"/>
  <c r="T28" i="2"/>
  <c r="Q21" i="2" l="1"/>
  <c r="Q30" i="2"/>
  <c r="R30" i="2"/>
  <c r="R21" i="2"/>
  <c r="S18" i="2"/>
  <c r="S19" i="2" s="1"/>
  <c r="T17" i="2"/>
  <c r="T29" i="2"/>
  <c r="U17" i="2"/>
  <c r="U29" i="2"/>
  <c r="S21" i="2" l="1"/>
  <c r="S30" i="2"/>
  <c r="U18" i="2"/>
  <c r="U19" i="2" s="1"/>
  <c r="T18" i="2"/>
  <c r="T19" i="2" s="1"/>
  <c r="T30" i="2" l="1"/>
  <c r="T21" i="2"/>
  <c r="V19" i="2"/>
  <c r="W19" i="2" s="1"/>
  <c r="X19" i="2" s="1"/>
  <c r="Y19" i="2" s="1"/>
  <c r="Z19" i="2" s="1"/>
  <c r="AA19" i="2" s="1"/>
  <c r="AB19" i="2" s="1"/>
  <c r="AC19" i="2" s="1"/>
  <c r="AD19" i="2" s="1"/>
  <c r="AE19" i="2" s="1"/>
  <c r="AF19" i="2" s="1"/>
  <c r="AG19" i="2" s="1"/>
  <c r="AH19" i="2" s="1"/>
  <c r="AI19" i="2" s="1"/>
  <c r="AJ19" i="2" s="1"/>
  <c r="AK19" i="2" s="1"/>
  <c r="AL19" i="2" s="1"/>
  <c r="AM19" i="2" s="1"/>
  <c r="AN19" i="2" s="1"/>
  <c r="AO19" i="2" s="1"/>
  <c r="AP19" i="2" s="1"/>
  <c r="AQ19" i="2" s="1"/>
  <c r="AR19" i="2" s="1"/>
  <c r="AS19" i="2" s="1"/>
  <c r="AT19" i="2" s="1"/>
  <c r="AU19" i="2" s="1"/>
  <c r="AV19" i="2" s="1"/>
  <c r="AW19" i="2" s="1"/>
  <c r="AX19" i="2" s="1"/>
  <c r="AY19" i="2" s="1"/>
  <c r="AZ19" i="2" s="1"/>
  <c r="BA19" i="2" s="1"/>
  <c r="BB19" i="2" s="1"/>
  <c r="BC19" i="2" s="1"/>
  <c r="BD19" i="2" s="1"/>
  <c r="BE19" i="2" s="1"/>
  <c r="BF19" i="2" s="1"/>
  <c r="BG19" i="2" s="1"/>
  <c r="BH19" i="2" s="1"/>
  <c r="BI19" i="2" s="1"/>
  <c r="BJ19" i="2" s="1"/>
  <c r="BK19" i="2" s="1"/>
  <c r="BL19" i="2" s="1"/>
  <c r="BM19" i="2" s="1"/>
  <c r="BN19" i="2" s="1"/>
  <c r="BO19" i="2" s="1"/>
  <c r="BP19" i="2" s="1"/>
  <c r="BQ19" i="2" s="1"/>
  <c r="BR19" i="2" s="1"/>
  <c r="BS19" i="2" s="1"/>
  <c r="BT19" i="2" s="1"/>
  <c r="BU19" i="2" s="1"/>
  <c r="BV19" i="2" s="1"/>
  <c r="BW19" i="2" s="1"/>
  <c r="BX19" i="2" s="1"/>
  <c r="BY19" i="2" s="1"/>
  <c r="BZ19" i="2" s="1"/>
  <c r="CA19" i="2" s="1"/>
  <c r="CB19" i="2" s="1"/>
  <c r="CC19" i="2" s="1"/>
  <c r="CD19" i="2" s="1"/>
  <c r="CE19" i="2" s="1"/>
  <c r="CF19" i="2" s="1"/>
  <c r="CG19" i="2" s="1"/>
  <c r="CH19" i="2" s="1"/>
  <c r="CI19" i="2" s="1"/>
  <c r="X5" i="2" s="1"/>
  <c r="X7" i="2" s="1"/>
  <c r="X8" i="2" s="1"/>
  <c r="U21" i="2"/>
  <c r="U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<sst xmlns="http://schemas.openxmlformats.org/spreadsheetml/2006/main" count="51" uniqueCount="50">
  <si>
    <t xml:space="preserve">Ticket </t>
  </si>
  <si>
    <t>Price</t>
  </si>
  <si>
    <t>shares</t>
  </si>
  <si>
    <t>mc</t>
  </si>
  <si>
    <t>cash</t>
  </si>
  <si>
    <t>debt</t>
  </si>
  <si>
    <t>ev</t>
  </si>
  <si>
    <t>Income Statement</t>
  </si>
  <si>
    <t>Revenue</t>
  </si>
  <si>
    <t>COGS</t>
  </si>
  <si>
    <t>Gross Profit</t>
  </si>
  <si>
    <t>Stock Based comp</t>
  </si>
  <si>
    <t>SG&amp;A</t>
  </si>
  <si>
    <t>D&amp;A</t>
  </si>
  <si>
    <t>Total Opex</t>
  </si>
  <si>
    <t>Operating Income</t>
  </si>
  <si>
    <t>Net Interest</t>
  </si>
  <si>
    <t>Other income</t>
  </si>
  <si>
    <t>Pretax Income</t>
  </si>
  <si>
    <t>Taxes</t>
  </si>
  <si>
    <t>Net income</t>
  </si>
  <si>
    <t>Shares</t>
  </si>
  <si>
    <t>EPS</t>
  </si>
  <si>
    <t>Q1 2022</t>
  </si>
  <si>
    <t xml:space="preserve">Q2 2022 </t>
  </si>
  <si>
    <t xml:space="preserve">Q3 2022 </t>
  </si>
  <si>
    <t>Q4 2022</t>
  </si>
  <si>
    <t>Q1 2023</t>
  </si>
  <si>
    <t>Q2 2023</t>
  </si>
  <si>
    <t>Q3 2023</t>
  </si>
  <si>
    <t>Q4 2023</t>
  </si>
  <si>
    <t>CFFO</t>
  </si>
  <si>
    <t>CAPEX</t>
  </si>
  <si>
    <t>FCF</t>
  </si>
  <si>
    <t>ACH &amp; Complementary</t>
  </si>
  <si>
    <t xml:space="preserve">Credit card </t>
  </si>
  <si>
    <t>Prepaid card services</t>
  </si>
  <si>
    <t>Output solutions</t>
  </si>
  <si>
    <t>Revenue Y/Y %</t>
  </si>
  <si>
    <t>News/info:</t>
  </si>
  <si>
    <t>Revenue consists primarily of fees generated through the electronic processing of payment transactions and related services</t>
  </si>
  <si>
    <t>Gross Margin %</t>
  </si>
  <si>
    <t>Operating Margin %</t>
  </si>
  <si>
    <t>Net Margin %</t>
  </si>
  <si>
    <t>Percentage insiders 20%; CEO 11,6%;VP 2,6%; CFO 3%</t>
  </si>
  <si>
    <t>Discount</t>
  </si>
  <si>
    <t>Maturity</t>
  </si>
  <si>
    <t>NPV</t>
  </si>
  <si>
    <t>Net Cash</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</si>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</sst>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_-[$$-409]* #,##0.00_ ;_-[$$-409]* \-#,##0.00\ ;_-[$$-409]* &quot;-&quot;??_ ;_-@_ "/>
    <numFmt numFmtId="166" formatCode="0.0%"/>
    <numFmt numFmtId="167" formatCode="#,##0.0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2" fillId="0" borderId="0" xfId="0" applyFont="1"/>
    <xf numFmtId="166" fontId="0" fillId="0" borderId="0" xfId="1" applyNumberFormat="1" applyFont="1"/>
    <xf numFmtId="165" fontId="2" fillId="0" borderId="0" xfId="0" applyNumberFormat="1" applyFont="1"/>
    <xf numFmtId="9" fontId="0" fillId="0" borderId="0" xfId="0" applyNumberFormat="1"/>
    <xf numFmtId="166" fontId="0" fillId="0" borderId="0" xfId="0" applyNumberFormat="1"/>
    <xf numFmtId="167" fontId="0" fillId="0" borderId="0" xfId="0" applyNumberFormat="1"/>
    <xf numFmtId="167"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594360</xdr:colOff>
      <xdr:row>0</xdr:row>
      <xdr:rowOff>38100</xdr:rowOff>
    </xdr:from>
    <xdr:to>
      <xdr:col>8</xdr:col>
      <xdr:colOff>600075</xdr:colOff>
      <xdr:row>31</xdr:row>
      <xdr:rowOff>144780</xdr:rowOff>
    </xdr:to>
    <xdr:cxnSp macro="">
      <xdr:nvCxnSpPr>
        <xdr:cNvPr id="3" name="Straight Connector 2">
          <a:extLst>
            <a:ext uri="{FF2B5EF4-FFF2-40B4-BE49-F238E27FC236}">
              <a16:creationId xmlns:a16="http://schemas.microsoft.com/office/drawing/2014/main" id="{DCC9F01D-8B6F-823B-FE56-7A338E997252}"/>
            </a:ext>
          </a:extLst>
        </xdr:cNvPr>
        <xdr:cNvCxnSpPr/>
      </xdr:nvCxnSpPr>
      <xdr:spPr>
        <a:xfrm flipH="1">
          <a:off x="5867400" y="38100"/>
          <a:ext cx="5715" cy="56769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601980</xdr:colOff>
      <xdr:row>0</xdr:row>
      <xdr:rowOff>45720</xdr:rowOff>
    </xdr:from>
    <xdr:to>
      <xdr:col>12</xdr:col>
      <xdr:colOff>601980</xdr:colOff>
      <xdr:row>31</xdr:row>
      <xdr:rowOff>144780</xdr:rowOff>
    </xdr:to>
    <xdr:cxnSp macro="">
      <xdr:nvCxnSpPr>
        <xdr:cNvPr id="4" name="Straight Connector 3">
          <a:extLst>
            <a:ext uri="{FF2B5EF4-FFF2-40B4-BE49-F238E27FC236}">
              <a16:creationId xmlns:a16="http://schemas.microsoft.com/office/drawing/2014/main" id="{FC1B1D97-B1BC-5E95-F3B5-8F8ADD133222}"/>
            </a:ext>
          </a:extLst>
        </xdr:cNvPr>
        <xdr:cNvCxnSpPr/>
      </xdr:nvCxnSpPr>
      <xdr:spPr>
        <a:xfrm>
          <a:off x="8313420" y="45720"/>
          <a:ext cx="0" cy="56692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https://www.bing.com/financeapi/forcetrigger?t=a21i77&amp;q=XNAS%3aUSIO&amp;form=skydnc</v>
    <v>Learn more on Bing</v>
  </rv>
  <rv s="1">
    <v>en-GB</v>
    <v>a21i77</v>
    <v>268435456</v>
    <v>1</v>
    <v>Powered by Refinitiv</v>
    <v>0</v>
    <v>USIO, INC. (XNAS:USIO)</v>
    <v>2</v>
    <v>3</v>
    <v>Finance</v>
    <v>4</v>
    <v>2.36</v>
    <v>1.45</v>
    <v>1.5638000000000001</v>
    <v>-4.87E-2</v>
    <v>-2.8646999999999999E-2</v>
    <v>USD</v>
    <v>Usio, Inc. provides integrated payment processing services to merchants and businesses. It provides various types of automated clearing house (ACH), processing, credit, prepaid card and debit card-based processing services. It offers customizable prepaid cards companies use for expense management, incentives, refunds, claims and disbursements, different forms of compensation like per diems, and more. It also offers prepaid cards to consumers for use as a tool to stay on budget, manage allowances and share money with family and friends. The Company’s Card platform supports Apple Pay, Samsung Pay, and Google Pay. Its PIN-less debit product allows merchants to debit and credit accounts in real-time. Through its Akimbo Now technology it offers money disbursement platform that allows businesses to pay their contractors, employees, or other recipients by choosing between a prepaid debit Mastercard, real-time deposit to a checking account, traditional ACH, direct deposit or paper check.</v>
    <v>117</v>
    <v>Nasdaq Stock Market</v>
    <v>XNAS</v>
    <v>XNAS</v>
    <v>3611 Paesanos Parkway, Suite 300, SAN ANTONIO, TX, 78231 US</v>
    <v>1.71</v>
    <v>Professional &amp; Commercial Services</v>
    <v>Stock</v>
    <v>45329.619893818752</v>
    <v>0</v>
    <v>1.6513</v>
    <v>43441227</v>
    <v>USIO, INC.</v>
    <v>USIO, INC.</v>
    <v>1.71</v>
    <v>1.7</v>
    <v>1.6513</v>
    <v>26307290</v>
    <v>USIO</v>
    <v>USIO, INC. (XNAS:USIO)</v>
    <v>1260</v>
    <v>28073</v>
    <v>1998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CA24-9264-45D4-8846-7B1F5B4626BD}">
  <dimension ref="A1:B11"/>
  <sheetViews>
    <sheetView workbookViewId="0">
      <selection activeCell="A12" sqref="A12"/>
    </sheetView>
  </sheetViews>
  <sheetFormatPr defaultRowHeight="14.4" x14ac:dyDescent="0.3"/>
  <sheetData>
    <row r="1" spans="1:2" x14ac:dyDescent="0.3">
      <c r="A1" t="s">
        <v>0</v>
      </c>
      <c r="B1" t="e" vm="1">
        <v>#VALUE!</v>
      </c>
    </row>
    <row r="2" spans="1:2" x14ac:dyDescent="0.3">
      <c r="A2" t="s">
        <v>1</v>
      </c>
      <c r="B2" s="1" cm="1">
        <f t="array" ref="B2">_FV(B1,"Price")</f>
        <v>1.6513</v>
      </c>
    </row>
    <row r="3" spans="1:2" x14ac:dyDescent="0.3">
      <c r="A3" t="s">
        <v>2</v>
      </c>
      <c r="B3">
        <v>26.306999999999999</v>
      </c>
    </row>
    <row r="4" spans="1:2" x14ac:dyDescent="0.3">
      <c r="A4" t="s">
        <v>3</v>
      </c>
      <c r="B4" s="2">
        <f>B2*B3</f>
        <v>43.440749099999998</v>
      </c>
    </row>
    <row r="5" spans="1:2" x14ac:dyDescent="0.3">
      <c r="A5" t="s">
        <v>4</v>
      </c>
      <c r="B5">
        <v>7.3959999999999999</v>
      </c>
    </row>
    <row r="6" spans="1:2" x14ac:dyDescent="0.3">
      <c r="A6" t="s">
        <v>5</v>
      </c>
      <c r="B6">
        <v>2.8000000000000001E-2</v>
      </c>
    </row>
    <row r="7" spans="1:2" x14ac:dyDescent="0.3">
      <c r="A7" t="s">
        <v>6</v>
      </c>
      <c r="B7" s="2">
        <f>B4-B5+B6</f>
        <v>36.072749099999996</v>
      </c>
    </row>
    <row r="9" spans="1:2" x14ac:dyDescent="0.3">
      <c r="A9" t="s">
        <v>39</v>
      </c>
    </row>
    <row r="10" spans="1:2" x14ac:dyDescent="0.3">
      <c r="A10" t="s">
        <v>40</v>
      </c>
    </row>
    <row r="11" spans="1:2" x14ac:dyDescent="0.3">
      <c r="A1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F651-210A-4E9A-B83A-B480CBE6CA90}">
  <dimension ref="A1:CI30"/>
  <sheetViews>
    <sheetView tabSelected="1" zoomScale="90" zoomScaleNormal="90" workbookViewId="0">
      <pane xSplit="2" ySplit="2" topLeftCell="C12" activePane="bottomRight" state="frozen"/>
      <selection pane="topRight" activeCell="C1" sqref="C1"/>
      <selection pane="bottomLeft" activeCell="A3" sqref="A3"/>
      <selection pane="bottomRight" activeCell="M5" sqref="M5"/>
    </sheetView>
  </sheetViews>
  <sheetFormatPr defaultRowHeight="14.4" x14ac:dyDescent="0.3"/>
  <cols>
    <col min="1" max="1" width="1.44140625" customWidth="1"/>
    <col min="2" max="2" width="22.109375" bestFit="1" customWidth="1"/>
  </cols>
  <sheetData>
    <row r="1" spans="2:24" ht="6.75" customHeight="1" x14ac:dyDescent="0.3"/>
    <row r="2" spans="2:24" x14ac:dyDescent="0.3">
      <c r="B2" s="3" t="s">
        <v>7</v>
      </c>
      <c r="C2" s="3" t="s">
        <v>23</v>
      </c>
      <c r="D2" s="3" t="s">
        <v>24</v>
      </c>
      <c r="E2" s="3" t="s">
        <v>25</v>
      </c>
      <c r="F2" s="3" t="s">
        <v>26</v>
      </c>
      <c r="G2" s="3" t="s">
        <v>27</v>
      </c>
      <c r="H2" s="3" t="s">
        <v>28</v>
      </c>
      <c r="I2" s="3" t="s">
        <v>29</v>
      </c>
      <c r="J2" s="3" t="s">
        <v>30</v>
      </c>
      <c r="L2" s="3">
        <v>2021</v>
      </c>
      <c r="M2" s="3">
        <v>2022</v>
      </c>
      <c r="N2" s="3">
        <f>M2+1</f>
        <v>2023</v>
      </c>
      <c r="O2" s="3">
        <f t="shared" ref="O2:U2" si="0">N2+1</f>
        <v>2024</v>
      </c>
      <c r="P2" s="3">
        <f t="shared" si="0"/>
        <v>2025</v>
      </c>
      <c r="Q2" s="3">
        <f t="shared" si="0"/>
        <v>2026</v>
      </c>
      <c r="R2" s="3">
        <f t="shared" si="0"/>
        <v>2027</v>
      </c>
      <c r="S2" s="3">
        <f t="shared" si="0"/>
        <v>2028</v>
      </c>
      <c r="T2" s="3">
        <f t="shared" si="0"/>
        <v>2029</v>
      </c>
      <c r="U2" s="3">
        <f t="shared" si="0"/>
        <v>2030</v>
      </c>
    </row>
    <row r="3" spans="2:24" x14ac:dyDescent="0.3">
      <c r="B3" t="s">
        <v>34</v>
      </c>
      <c r="C3" s="8">
        <v>3.8433160000000002</v>
      </c>
      <c r="D3" s="8">
        <v>3.8996119999999999</v>
      </c>
      <c r="E3" s="8">
        <v>3.242794</v>
      </c>
      <c r="F3" s="8"/>
      <c r="G3" s="8">
        <v>3.340722</v>
      </c>
      <c r="H3" s="8">
        <v>4.0791570000000004</v>
      </c>
      <c r="I3" s="8">
        <v>3.528133</v>
      </c>
      <c r="J3" s="9"/>
      <c r="K3" s="8"/>
      <c r="L3" s="8">
        <v>15.432786999999999</v>
      </c>
      <c r="M3" s="8">
        <v>14.782605999999999</v>
      </c>
      <c r="N3" s="8">
        <f>M3*1.025</f>
        <v>15.152171149999997</v>
      </c>
      <c r="O3" s="8">
        <f t="shared" ref="O3:U3" si="1">N3*1.025</f>
        <v>15.530975428749995</v>
      </c>
      <c r="P3" s="8">
        <f t="shared" si="1"/>
        <v>15.919249814468744</v>
      </c>
      <c r="Q3" s="8">
        <f t="shared" si="1"/>
        <v>16.317231059830462</v>
      </c>
      <c r="R3" s="8">
        <f t="shared" si="1"/>
        <v>16.725161836326222</v>
      </c>
      <c r="S3" s="8">
        <f t="shared" si="1"/>
        <v>17.143290882234375</v>
      </c>
      <c r="T3" s="8">
        <f t="shared" si="1"/>
        <v>17.571873154290234</v>
      </c>
      <c r="U3" s="8">
        <f t="shared" si="1"/>
        <v>18.011169983147489</v>
      </c>
      <c r="W3" t="s">
        <v>45</v>
      </c>
      <c r="X3" s="6">
        <v>0.09</v>
      </c>
    </row>
    <row r="4" spans="2:24" x14ac:dyDescent="0.3">
      <c r="B4" t="s">
        <v>35</v>
      </c>
      <c r="C4" s="8">
        <v>6.7682219999999997</v>
      </c>
      <c r="D4" s="8">
        <v>6.8856970000000004</v>
      </c>
      <c r="E4" s="8">
        <v>6.8420649999999998</v>
      </c>
      <c r="F4" s="8"/>
      <c r="G4" s="8">
        <v>7.3398979999999998</v>
      </c>
      <c r="H4" s="8">
        <v>7.1158840000000003</v>
      </c>
      <c r="I4" s="8">
        <v>7.1690659999999999</v>
      </c>
      <c r="J4" s="9"/>
      <c r="K4" s="8"/>
      <c r="L4" s="8">
        <v>25.174579000000001</v>
      </c>
      <c r="M4" s="8">
        <v>27.121621000000001</v>
      </c>
      <c r="N4" s="8">
        <f>M4*1.07</f>
        <v>29.020134470000002</v>
      </c>
      <c r="O4" s="8">
        <f t="shared" ref="O4:U4" si="2">N4*1.07</f>
        <v>31.051543882900003</v>
      </c>
      <c r="P4" s="8">
        <f t="shared" si="2"/>
        <v>33.225151954703001</v>
      </c>
      <c r="Q4" s="8">
        <f t="shared" si="2"/>
        <v>35.55091259153221</v>
      </c>
      <c r="R4" s="8">
        <f t="shared" si="2"/>
        <v>38.039476472939469</v>
      </c>
      <c r="S4" s="8">
        <f t="shared" si="2"/>
        <v>40.702239826045236</v>
      </c>
      <c r="T4" s="8">
        <f t="shared" si="2"/>
        <v>43.551396613868405</v>
      </c>
      <c r="U4" s="8">
        <f t="shared" si="2"/>
        <v>46.599994376839199</v>
      </c>
      <c r="W4" t="s">
        <v>46</v>
      </c>
      <c r="X4" s="6">
        <v>-0.01</v>
      </c>
    </row>
    <row r="5" spans="2:24" x14ac:dyDescent="0.3">
      <c r="B5" t="s">
        <v>36</v>
      </c>
      <c r="C5" s="8">
        <v>2.7684470000000001</v>
      </c>
      <c r="D5" s="8">
        <v>1.38811</v>
      </c>
      <c r="E5" s="8">
        <v>1.5768709999999999</v>
      </c>
      <c r="F5" s="8"/>
      <c r="G5" s="8">
        <v>4.807404</v>
      </c>
      <c r="H5" s="8">
        <v>5.2174680000000002</v>
      </c>
      <c r="I5" s="8">
        <v>4.6852119999999999</v>
      </c>
      <c r="J5" s="9"/>
      <c r="K5" s="8"/>
      <c r="L5" s="8">
        <v>6.5426510000000002</v>
      </c>
      <c r="M5" s="8">
        <v>9.1176700000000004</v>
      </c>
      <c r="N5" s="8">
        <f>M5*1.1</f>
        <v>10.029437000000001</v>
      </c>
      <c r="O5" s="8">
        <f t="shared" ref="O5:U5" si="3">N5*1.1</f>
        <v>11.032380700000003</v>
      </c>
      <c r="P5" s="8">
        <f t="shared" si="3"/>
        <v>12.135618770000004</v>
      </c>
      <c r="Q5" s="8">
        <f t="shared" si="3"/>
        <v>13.349180647000006</v>
      </c>
      <c r="R5" s="8">
        <f t="shared" si="3"/>
        <v>14.684098711700008</v>
      </c>
      <c r="S5" s="8">
        <f t="shared" si="3"/>
        <v>16.152508582870009</v>
      </c>
      <c r="T5" s="8">
        <f t="shared" si="3"/>
        <v>17.767759441157011</v>
      </c>
      <c r="U5" s="8">
        <f t="shared" si="3"/>
        <v>19.544535385272713</v>
      </c>
      <c r="W5" t="s">
        <v>47</v>
      </c>
      <c r="X5" s="2">
        <f>NPV(X3,N19:CI19)</f>
        <v>73.141320216429449</v>
      </c>
    </row>
    <row r="6" spans="2:24" x14ac:dyDescent="0.3">
      <c r="B6" t="s">
        <v>37</v>
      </c>
      <c r="C6" s="8">
        <v>4.7313580000000002</v>
      </c>
      <c r="D6" s="8">
        <v>4.0422669999999998</v>
      </c>
      <c r="E6" s="8">
        <v>4.7340299999999997</v>
      </c>
      <c r="F6" s="8"/>
      <c r="G6" s="8">
        <v>5.9582199999999998</v>
      </c>
      <c r="H6" s="8">
        <v>4.8491970000000002</v>
      </c>
      <c r="I6" s="8">
        <v>5.1380299999999997</v>
      </c>
      <c r="J6" s="9"/>
      <c r="K6" s="8"/>
      <c r="L6" s="8">
        <v>14.792299</v>
      </c>
      <c r="M6" s="8">
        <v>18.406388</v>
      </c>
      <c r="N6" s="8">
        <f>M6*1.1</f>
        <v>20.2470268</v>
      </c>
      <c r="O6" s="8">
        <f t="shared" ref="O6:U6" si="4">N6*1.1</f>
        <v>22.271729480000001</v>
      </c>
      <c r="P6" s="8">
        <f t="shared" si="4"/>
        <v>24.498902428000005</v>
      </c>
      <c r="Q6" s="8">
        <f t="shared" si="4"/>
        <v>26.948792670800007</v>
      </c>
      <c r="R6" s="8">
        <f t="shared" si="4"/>
        <v>29.643671937880011</v>
      </c>
      <c r="S6" s="8">
        <f t="shared" si="4"/>
        <v>32.608039131668015</v>
      </c>
      <c r="T6" s="8">
        <f t="shared" si="4"/>
        <v>35.868843044834819</v>
      </c>
      <c r="U6" s="8">
        <f t="shared" si="4"/>
        <v>39.455727349318302</v>
      </c>
      <c r="W6" t="s">
        <v>48</v>
      </c>
      <c r="X6" s="2">
        <f>Sheet1!B5-Sheet1!B6</f>
        <v>7.3680000000000003</v>
      </c>
    </row>
    <row r="7" spans="2:24" x14ac:dyDescent="0.3">
      <c r="B7" s="3" t="s">
        <v>8</v>
      </c>
      <c r="C7" s="9">
        <f t="shared" ref="C7:H7" si="5">SUM(C3:C6)</f>
        <v>18.111342999999998</v>
      </c>
      <c r="D7" s="9">
        <f t="shared" si="5"/>
        <v>16.215685999999998</v>
      </c>
      <c r="E7" s="9">
        <f t="shared" si="5"/>
        <v>16.395759999999999</v>
      </c>
      <c r="F7" s="9">
        <f t="shared" si="5"/>
        <v>0</v>
      </c>
      <c r="G7" s="9">
        <f t="shared" si="5"/>
        <v>21.446244</v>
      </c>
      <c r="H7" s="9">
        <f t="shared" si="5"/>
        <v>21.261706</v>
      </c>
      <c r="I7" s="9">
        <f>SUM(I3:I6)</f>
        <v>20.520440999999998</v>
      </c>
      <c r="J7" s="9">
        <f t="shared" ref="J7" si="6">SUM(J3:J6)</f>
        <v>0</v>
      </c>
      <c r="K7" s="8"/>
      <c r="L7" s="9">
        <f t="shared" ref="L7" si="7">SUM(L3:L6)</f>
        <v>61.942315999999998</v>
      </c>
      <c r="M7" s="9">
        <f t="shared" ref="M7" si="8">SUM(M3:M6)</f>
        <v>69.428284999999988</v>
      </c>
      <c r="N7" s="9">
        <f t="shared" ref="N7" si="9">SUM(N3:N6)</f>
        <v>74.448769420000005</v>
      </c>
      <c r="O7" s="9">
        <f t="shared" ref="O7" si="10">SUM(O3:O6)</f>
        <v>79.886629491649998</v>
      </c>
      <c r="P7" s="9">
        <f t="shared" ref="P7" si="11">SUM(P3:P6)</f>
        <v>85.778922967171752</v>
      </c>
      <c r="Q7" s="9">
        <f t="shared" ref="Q7" si="12">SUM(Q3:Q6)</f>
        <v>92.166116969162687</v>
      </c>
      <c r="R7" s="9">
        <f t="shared" ref="R7" si="13">SUM(R3:R6)</f>
        <v>99.092408958845709</v>
      </c>
      <c r="S7" s="9">
        <f t="shared" ref="S7" si="14">SUM(S3:S6)</f>
        <v>106.60607842281763</v>
      </c>
      <c r="T7" s="9">
        <f t="shared" ref="T7" si="15">SUM(T3:T6)</f>
        <v>114.75987225415047</v>
      </c>
      <c r="U7" s="9">
        <f t="shared" ref="U7" si="16">SUM(U3:U6)</f>
        <v>123.61142709457769</v>
      </c>
      <c r="W7" t="s">
        <v>49</v>
      </c>
      <c r="X7" s="2">
        <f>X5+X6</f>
        <v>80.509320216429444</v>
      </c>
    </row>
    <row r="8" spans="2:24" x14ac:dyDescent="0.3">
      <c r="B8" t="s">
        <v>9</v>
      </c>
      <c r="C8" s="8">
        <v>14.602214</v>
      </c>
      <c r="D8" s="8">
        <v>12.955781999999999</v>
      </c>
      <c r="E8" s="8">
        <v>13.261240000000001</v>
      </c>
      <c r="F8" s="8"/>
      <c r="G8" s="8">
        <v>16.544429000000001</v>
      </c>
      <c r="H8" s="8">
        <v>16.250988</v>
      </c>
      <c r="I8" s="8">
        <v>16.325793000000001</v>
      </c>
      <c r="J8" s="8"/>
      <c r="K8" s="8"/>
      <c r="L8" s="8">
        <v>46.309705999999998</v>
      </c>
      <c r="M8" s="8">
        <v>54.835068999999997</v>
      </c>
      <c r="N8" s="8">
        <f>M8*1.05</f>
        <v>57.576822450000002</v>
      </c>
      <c r="O8" s="8">
        <f t="shared" ref="O8:U8" si="17">N8*1.05</f>
        <v>60.455663572500008</v>
      </c>
      <c r="P8" s="8">
        <f t="shared" si="17"/>
        <v>63.478446751125013</v>
      </c>
      <c r="Q8" s="8">
        <f t="shared" si="17"/>
        <v>66.652369088681269</v>
      </c>
      <c r="R8" s="8">
        <f t="shared" si="17"/>
        <v>69.984987543115338</v>
      </c>
      <c r="S8" s="8">
        <f t="shared" si="17"/>
        <v>73.484236920271101</v>
      </c>
      <c r="T8" s="8">
        <f t="shared" si="17"/>
        <v>77.158448766284664</v>
      </c>
      <c r="U8" s="8">
        <f t="shared" si="17"/>
        <v>81.016371204598897</v>
      </c>
      <c r="W8" t="s">
        <v>1</v>
      </c>
      <c r="X8" s="2">
        <f>X7/Sheet1!B3</f>
        <v>3.0603763339198484</v>
      </c>
    </row>
    <row r="9" spans="2:24" x14ac:dyDescent="0.3">
      <c r="B9" s="3" t="s">
        <v>10</v>
      </c>
      <c r="C9" s="9">
        <f t="shared" ref="C9:H9" si="18">C7-C8</f>
        <v>3.5091289999999979</v>
      </c>
      <c r="D9" s="9">
        <f t="shared" si="18"/>
        <v>3.2599039999999988</v>
      </c>
      <c r="E9" s="9">
        <f t="shared" si="18"/>
        <v>3.1345199999999984</v>
      </c>
      <c r="F9" s="9">
        <f t="shared" si="18"/>
        <v>0</v>
      </c>
      <c r="G9" s="9">
        <f t="shared" si="18"/>
        <v>4.9018149999999991</v>
      </c>
      <c r="H9" s="9">
        <f t="shared" si="18"/>
        <v>5.0107180000000007</v>
      </c>
      <c r="I9" s="9">
        <f>I7-I8</f>
        <v>4.1946479999999973</v>
      </c>
      <c r="J9" s="9">
        <f t="shared" ref="J9" si="19">J7-J8</f>
        <v>0</v>
      </c>
      <c r="K9" s="8"/>
      <c r="L9" s="9">
        <f>L7-L8</f>
        <v>15.63261</v>
      </c>
      <c r="M9" s="9">
        <f t="shared" ref="M9:U9" si="20">M7-M8</f>
        <v>14.593215999999991</v>
      </c>
      <c r="N9" s="9">
        <f t="shared" si="20"/>
        <v>16.871946970000003</v>
      </c>
      <c r="O9" s="9">
        <f t="shared" si="20"/>
        <v>19.43096591914999</v>
      </c>
      <c r="P9" s="9">
        <f t="shared" si="20"/>
        <v>22.300476216046739</v>
      </c>
      <c r="Q9" s="9">
        <f t="shared" si="20"/>
        <v>25.513747880481418</v>
      </c>
      <c r="R9" s="9">
        <f t="shared" si="20"/>
        <v>29.107421415730371</v>
      </c>
      <c r="S9" s="9">
        <f t="shared" si="20"/>
        <v>33.12184150254653</v>
      </c>
      <c r="T9" s="9">
        <f t="shared" si="20"/>
        <v>37.601423487865802</v>
      </c>
      <c r="U9" s="9">
        <f t="shared" si="20"/>
        <v>42.595055889978795</v>
      </c>
    </row>
    <row r="10" spans="2:24" x14ac:dyDescent="0.3">
      <c r="B10" t="s">
        <v>11</v>
      </c>
      <c r="C10" s="8">
        <v>0.550682</v>
      </c>
      <c r="D10" s="8">
        <v>0.47370099999999998</v>
      </c>
      <c r="E10" s="8">
        <v>0.51599200000000001</v>
      </c>
      <c r="F10" s="8"/>
      <c r="G10" s="8">
        <v>0.50457399999999997</v>
      </c>
      <c r="H10" s="8">
        <v>0.57786899999999997</v>
      </c>
      <c r="I10" s="8">
        <v>0.59481499999999998</v>
      </c>
      <c r="J10" s="8"/>
      <c r="K10" s="8"/>
      <c r="L10" s="8">
        <v>1.489976</v>
      </c>
      <c r="M10" s="8">
        <v>2.072041</v>
      </c>
      <c r="N10" s="8">
        <f>M10*0.99</f>
        <v>2.05132059</v>
      </c>
      <c r="O10" s="8">
        <f t="shared" ref="O10:U10" si="21">N10*0.99</f>
        <v>2.0308073841000001</v>
      </c>
      <c r="P10" s="8">
        <f t="shared" si="21"/>
        <v>2.0104993102590001</v>
      </c>
      <c r="Q10" s="8">
        <f t="shared" si="21"/>
        <v>1.99039431715641</v>
      </c>
      <c r="R10" s="8">
        <f t="shared" si="21"/>
        <v>1.9704903739848458</v>
      </c>
      <c r="S10" s="8">
        <f t="shared" si="21"/>
        <v>1.9507854702449974</v>
      </c>
      <c r="T10" s="8">
        <f t="shared" si="21"/>
        <v>1.9312776155425473</v>
      </c>
      <c r="U10" s="8">
        <f t="shared" si="21"/>
        <v>1.9119648393871218</v>
      </c>
    </row>
    <row r="11" spans="2:24" x14ac:dyDescent="0.3">
      <c r="B11" t="s">
        <v>12</v>
      </c>
      <c r="C11" s="8">
        <v>3.7951459999999999</v>
      </c>
      <c r="D11" s="8">
        <v>3.8486959999999999</v>
      </c>
      <c r="E11" s="8">
        <v>3.679484</v>
      </c>
      <c r="F11" s="8"/>
      <c r="G11" s="8">
        <v>3.8732190000000002</v>
      </c>
      <c r="H11" s="8">
        <v>3.8540220000000001</v>
      </c>
      <c r="I11" s="8">
        <v>4.2938689999999999</v>
      </c>
      <c r="J11" s="8"/>
      <c r="K11" s="8"/>
      <c r="L11" s="8">
        <v>11.654339999999999</v>
      </c>
      <c r="M11" s="8">
        <v>15.000487</v>
      </c>
      <c r="N11" s="8">
        <f>M11*1.04</f>
        <v>15.60050648</v>
      </c>
      <c r="O11" s="8">
        <f t="shared" ref="O11:U11" si="22">N11*1.04</f>
        <v>16.224526739200002</v>
      </c>
      <c r="P11" s="8">
        <f t="shared" si="22"/>
        <v>16.873507808768004</v>
      </c>
      <c r="Q11" s="8">
        <f t="shared" si="22"/>
        <v>17.548448121118724</v>
      </c>
      <c r="R11" s="8">
        <f t="shared" si="22"/>
        <v>18.250386045963474</v>
      </c>
      <c r="S11" s="8">
        <f t="shared" si="22"/>
        <v>18.980401487802013</v>
      </c>
      <c r="T11" s="8">
        <f t="shared" si="22"/>
        <v>19.739617547314094</v>
      </c>
      <c r="U11" s="8">
        <f t="shared" si="22"/>
        <v>20.529202249206659</v>
      </c>
    </row>
    <row r="12" spans="2:24" x14ac:dyDescent="0.3">
      <c r="B12" t="s">
        <v>13</v>
      </c>
      <c r="C12" s="8">
        <v>0.71493499999999999</v>
      </c>
      <c r="D12" s="8">
        <v>0.80793400000000004</v>
      </c>
      <c r="E12" s="8">
        <v>0.64059900000000003</v>
      </c>
      <c r="F12" s="8"/>
      <c r="G12" s="8">
        <v>0.51802899999999996</v>
      </c>
      <c r="H12" s="8">
        <v>0.52299899999999999</v>
      </c>
      <c r="I12" s="8">
        <v>0.51857299999999995</v>
      </c>
      <c r="J12" s="8"/>
      <c r="K12" s="8"/>
      <c r="L12" s="8">
        <v>2.643675</v>
      </c>
      <c r="M12" s="8">
        <v>2.7351179999999999</v>
      </c>
      <c r="N12" s="8">
        <f>N7*0.04</f>
        <v>2.9779507768000002</v>
      </c>
      <c r="O12" s="8">
        <f t="shared" ref="O12:U12" si="23">O7*0.04</f>
        <v>3.1954651796659999</v>
      </c>
      <c r="P12" s="8">
        <f t="shared" si="23"/>
        <v>3.4311569186868702</v>
      </c>
      <c r="Q12" s="8">
        <f t="shared" si="23"/>
        <v>3.6866446787665077</v>
      </c>
      <c r="R12" s="8">
        <f t="shared" si="23"/>
        <v>3.9636963583538285</v>
      </c>
      <c r="S12" s="8">
        <f t="shared" si="23"/>
        <v>4.2642431369127056</v>
      </c>
      <c r="T12" s="8">
        <f t="shared" si="23"/>
        <v>4.590394890166019</v>
      </c>
      <c r="U12" s="8">
        <f t="shared" si="23"/>
        <v>4.9444570837831074</v>
      </c>
    </row>
    <row r="13" spans="2:24" x14ac:dyDescent="0.3">
      <c r="B13" t="s">
        <v>14</v>
      </c>
      <c r="C13" s="8">
        <f t="shared" ref="C13:H13" si="24">SUM(C10:C12)</f>
        <v>5.0607629999999997</v>
      </c>
      <c r="D13" s="8">
        <f t="shared" si="24"/>
        <v>5.130331</v>
      </c>
      <c r="E13" s="8">
        <f t="shared" si="24"/>
        <v>4.8360750000000001</v>
      </c>
      <c r="F13" s="8">
        <f t="shared" si="24"/>
        <v>0</v>
      </c>
      <c r="G13" s="8">
        <f t="shared" si="24"/>
        <v>4.8958220000000008</v>
      </c>
      <c r="H13" s="8">
        <f t="shared" si="24"/>
        <v>4.9548900000000007</v>
      </c>
      <c r="I13" s="8">
        <f>SUM(I10:I12)</f>
        <v>5.4072569999999995</v>
      </c>
      <c r="J13" s="8"/>
      <c r="K13" s="8"/>
      <c r="L13" s="8">
        <f t="shared" ref="L13:U13" si="25">SUM(L10:L12)</f>
        <v>15.787991</v>
      </c>
      <c r="M13" s="8">
        <f t="shared" si="25"/>
        <v>19.807645999999998</v>
      </c>
      <c r="N13" s="8">
        <f t="shared" si="25"/>
        <v>20.6297778468</v>
      </c>
      <c r="O13" s="8">
        <f t="shared" si="25"/>
        <v>21.450799302966004</v>
      </c>
      <c r="P13" s="8">
        <f t="shared" si="25"/>
        <v>22.315164037713874</v>
      </c>
      <c r="Q13" s="8">
        <f t="shared" si="25"/>
        <v>23.225487117041645</v>
      </c>
      <c r="R13" s="8">
        <f t="shared" si="25"/>
        <v>24.184572778302147</v>
      </c>
      <c r="S13" s="8">
        <f t="shared" si="25"/>
        <v>25.195430094959718</v>
      </c>
      <c r="T13" s="8">
        <f t="shared" si="25"/>
        <v>26.261290053022663</v>
      </c>
      <c r="U13" s="8">
        <f t="shared" si="25"/>
        <v>27.385624172376886</v>
      </c>
    </row>
    <row r="14" spans="2:24" x14ac:dyDescent="0.3">
      <c r="B14" s="3" t="s">
        <v>15</v>
      </c>
      <c r="C14" s="9">
        <f t="shared" ref="C14:H14" si="26">C9-C13</f>
        <v>-1.5516340000000017</v>
      </c>
      <c r="D14" s="9">
        <f t="shared" si="26"/>
        <v>-1.8704270000000012</v>
      </c>
      <c r="E14" s="9">
        <f t="shared" si="26"/>
        <v>-1.7015550000000017</v>
      </c>
      <c r="F14" s="9">
        <f t="shared" si="26"/>
        <v>0</v>
      </c>
      <c r="G14" s="9">
        <f t="shared" si="26"/>
        <v>5.9929999999983607E-3</v>
      </c>
      <c r="H14" s="9">
        <f t="shared" si="26"/>
        <v>5.5827999999999989E-2</v>
      </c>
      <c r="I14" s="9">
        <f>I9-I13</f>
        <v>-1.2126090000000023</v>
      </c>
      <c r="J14" s="9">
        <f t="shared" ref="J14:U14" si="27">J9-J13</f>
        <v>0</v>
      </c>
      <c r="K14" s="9"/>
      <c r="L14" s="9">
        <f>L9-L13</f>
        <v>-0.15538100000000021</v>
      </c>
      <c r="M14" s="9">
        <f t="shared" si="27"/>
        <v>-5.2144300000000072</v>
      </c>
      <c r="N14" s="9">
        <f t="shared" si="27"/>
        <v>-3.7578308767999964</v>
      </c>
      <c r="O14" s="9">
        <f t="shared" si="27"/>
        <v>-2.0198333838160138</v>
      </c>
      <c r="P14" s="9">
        <f t="shared" si="27"/>
        <v>-1.4687821667134671E-2</v>
      </c>
      <c r="Q14" s="9">
        <f t="shared" si="27"/>
        <v>2.2882607634397729</v>
      </c>
      <c r="R14" s="9">
        <f t="shared" si="27"/>
        <v>4.9228486374282241</v>
      </c>
      <c r="S14" s="9">
        <f t="shared" si="27"/>
        <v>7.9264114075868122</v>
      </c>
      <c r="T14" s="9">
        <f t="shared" si="27"/>
        <v>11.340133434843139</v>
      </c>
      <c r="U14" s="9">
        <f t="shared" si="27"/>
        <v>15.209431717601909</v>
      </c>
    </row>
    <row r="15" spans="2:24" x14ac:dyDescent="0.3">
      <c r="B15" t="s">
        <v>16</v>
      </c>
      <c r="C15" s="8">
        <v>-6.3599999999999996E-4</v>
      </c>
      <c r="D15" s="8">
        <f>0.001166-0.001084</f>
        <v>8.2000000000000042E-5</v>
      </c>
      <c r="E15" s="8">
        <f>0.002728-0.000943</f>
        <v>1.7849999999999999E-3</v>
      </c>
      <c r="F15" s="8"/>
      <c r="G15" s="8">
        <v>9.2266000000000001E-2</v>
      </c>
      <c r="H15" s="8">
        <f>0.218844-0.000533</f>
        <v>0.21831100000000001</v>
      </c>
      <c r="I15" s="8">
        <f>0.512089-0.000393</f>
        <v>0.51169600000000004</v>
      </c>
      <c r="J15" s="8"/>
      <c r="K15" s="8"/>
      <c r="L15" s="8">
        <v>3.6080000000000001E-3</v>
      </c>
      <c r="M15" s="8">
        <v>1.1186E-2</v>
      </c>
      <c r="N15" s="8">
        <f>M15*0.99</f>
        <v>1.107414E-2</v>
      </c>
      <c r="O15" s="8">
        <f t="shared" ref="O15:U15" si="28">N15*0.99</f>
        <v>1.09633986E-2</v>
      </c>
      <c r="P15" s="8">
        <f t="shared" si="28"/>
        <v>1.0853764614E-2</v>
      </c>
      <c r="Q15" s="8">
        <f t="shared" si="28"/>
        <v>1.0745226967860001E-2</v>
      </c>
      <c r="R15" s="8">
        <f t="shared" si="28"/>
        <v>1.0637774698181401E-2</v>
      </c>
      <c r="S15" s="8">
        <f t="shared" si="28"/>
        <v>1.0531396951199586E-2</v>
      </c>
      <c r="T15" s="8">
        <f t="shared" si="28"/>
        <v>1.042608298168759E-2</v>
      </c>
      <c r="U15" s="8">
        <f t="shared" si="28"/>
        <v>1.0321822151870714E-2</v>
      </c>
    </row>
    <row r="16" spans="2:24" x14ac:dyDescent="0.3">
      <c r="B16" t="s">
        <v>17</v>
      </c>
      <c r="C16" s="8">
        <v>0</v>
      </c>
      <c r="D16" s="8">
        <v>0</v>
      </c>
      <c r="E16" s="8">
        <v>0</v>
      </c>
      <c r="F16" s="8"/>
      <c r="G16" s="8">
        <v>0</v>
      </c>
      <c r="H16" s="8">
        <v>0</v>
      </c>
      <c r="I16" s="8">
        <v>0.05</v>
      </c>
      <c r="J16" s="8"/>
      <c r="K16" s="8"/>
      <c r="L16" s="8">
        <v>0</v>
      </c>
      <c r="M16" s="8">
        <v>0</v>
      </c>
      <c r="N16" s="8">
        <f>M16</f>
        <v>0</v>
      </c>
      <c r="O16" s="8">
        <f t="shared" ref="O16:U16" si="29">N16</f>
        <v>0</v>
      </c>
      <c r="P16" s="8">
        <f t="shared" si="29"/>
        <v>0</v>
      </c>
      <c r="Q16" s="8">
        <f t="shared" si="29"/>
        <v>0</v>
      </c>
      <c r="R16" s="8">
        <f t="shared" si="29"/>
        <v>0</v>
      </c>
      <c r="S16" s="8">
        <f t="shared" si="29"/>
        <v>0</v>
      </c>
      <c r="T16" s="8">
        <f t="shared" si="29"/>
        <v>0</v>
      </c>
      <c r="U16" s="8">
        <f t="shared" si="29"/>
        <v>0</v>
      </c>
    </row>
    <row r="17" spans="1:87" x14ac:dyDescent="0.3">
      <c r="B17" s="3" t="s">
        <v>18</v>
      </c>
      <c r="C17" s="9">
        <f t="shared" ref="C17:H17" si="30">C14+C15+C16</f>
        <v>-1.5522700000000018</v>
      </c>
      <c r="D17" s="9">
        <f t="shared" si="30"/>
        <v>-1.8703450000000013</v>
      </c>
      <c r="E17" s="9">
        <f t="shared" si="30"/>
        <v>-1.6997700000000018</v>
      </c>
      <c r="F17" s="9">
        <f t="shared" si="30"/>
        <v>0</v>
      </c>
      <c r="G17" s="9">
        <f t="shared" si="30"/>
        <v>9.8258999999998362E-2</v>
      </c>
      <c r="H17" s="9">
        <f t="shared" si="30"/>
        <v>0.27413900000000002</v>
      </c>
      <c r="I17" s="9">
        <f>I14+I15+I16</f>
        <v>-0.65091300000000218</v>
      </c>
      <c r="J17" s="9">
        <f t="shared" ref="J17" si="31">J14+J15+J16</f>
        <v>0</v>
      </c>
      <c r="K17" s="8"/>
      <c r="L17" s="9">
        <f t="shared" ref="L17" si="32">L14+L15+L16</f>
        <v>-0.15177300000000021</v>
      </c>
      <c r="M17" s="9">
        <f t="shared" ref="M17" si="33">M14+M15+M16</f>
        <v>-5.2032440000000069</v>
      </c>
      <c r="N17" s="9">
        <f t="shared" ref="N17" si="34">N14+N15+N16</f>
        <v>-3.7467567367999965</v>
      </c>
      <c r="O17" s="9">
        <f t="shared" ref="O17" si="35">O14+O15+O16</f>
        <v>-2.0088699852160139</v>
      </c>
      <c r="P17" s="9">
        <f t="shared" ref="P17" si="36">P14+P15+P16</f>
        <v>-3.8340570531346704E-3</v>
      </c>
      <c r="Q17" s="9">
        <f t="shared" ref="Q17" si="37">Q14+Q15+Q16</f>
        <v>2.299005990407633</v>
      </c>
      <c r="R17" s="9">
        <f t="shared" ref="R17" si="38">R14+R15+R16</f>
        <v>4.9334864121264053</v>
      </c>
      <c r="S17" s="9">
        <f t="shared" ref="S17" si="39">S14+S15+S16</f>
        <v>7.9369428045380115</v>
      </c>
      <c r="T17" s="9">
        <f t="shared" ref="T17" si="40">T14+T15+T16</f>
        <v>11.350559517824827</v>
      </c>
      <c r="U17" s="9">
        <f t="shared" ref="U17" si="41">U14+U15+U16</f>
        <v>15.21975353975378</v>
      </c>
    </row>
    <row r="18" spans="1:87" x14ac:dyDescent="0.3">
      <c r="B18" t="s">
        <v>19</v>
      </c>
      <c r="C18" s="8">
        <v>7.0000000000000007E-2</v>
      </c>
      <c r="D18" s="8">
        <v>7.0000000000000007E-2</v>
      </c>
      <c r="E18" s="8">
        <v>7.0000000000000007E-2</v>
      </c>
      <c r="F18" s="8"/>
      <c r="G18" s="8">
        <v>8.3426E-2</v>
      </c>
      <c r="H18" s="8">
        <v>6.9098000000000007E-2</v>
      </c>
      <c r="I18" s="8">
        <v>7.0000000000000007E-2</v>
      </c>
      <c r="J18" s="8"/>
      <c r="K18" s="8"/>
      <c r="L18" s="8">
        <v>0.16986100000000001</v>
      </c>
      <c r="M18" s="8">
        <v>0.28000000000000003</v>
      </c>
      <c r="N18" s="8">
        <f>N17*0.22</f>
        <v>-0.8242864820959992</v>
      </c>
      <c r="O18" s="8">
        <f t="shared" ref="O18:U18" si="42">O17*0.22</f>
        <v>-0.44195139674752304</v>
      </c>
      <c r="P18" s="8">
        <f t="shared" si="42"/>
        <v>-8.4349255168962751E-4</v>
      </c>
      <c r="Q18" s="8">
        <f t="shared" si="42"/>
        <v>0.50578131788967928</v>
      </c>
      <c r="R18" s="8">
        <f t="shared" si="42"/>
        <v>1.0853670106678093</v>
      </c>
      <c r="S18" s="8">
        <f t="shared" si="42"/>
        <v>1.7461274169983625</v>
      </c>
      <c r="T18" s="8">
        <f t="shared" si="42"/>
        <v>2.4971230939214619</v>
      </c>
      <c r="U18" s="8">
        <f t="shared" si="42"/>
        <v>3.3483457787458315</v>
      </c>
    </row>
    <row r="19" spans="1:87" x14ac:dyDescent="0.3">
      <c r="B19" s="3" t="s">
        <v>20</v>
      </c>
      <c r="C19" s="9">
        <f t="shared" ref="C19:H19" si="43">C17-C18</f>
        <v>-1.6222700000000019</v>
      </c>
      <c r="D19" s="9">
        <f t="shared" si="43"/>
        <v>-1.9403450000000013</v>
      </c>
      <c r="E19" s="9">
        <f t="shared" si="43"/>
        <v>-1.7697700000000018</v>
      </c>
      <c r="F19" s="9">
        <f t="shared" si="43"/>
        <v>0</v>
      </c>
      <c r="G19" s="9">
        <f t="shared" si="43"/>
        <v>1.4832999999998361E-2</v>
      </c>
      <c r="H19" s="9">
        <f t="shared" si="43"/>
        <v>0.20504100000000003</v>
      </c>
      <c r="I19" s="9">
        <f>I17-I18</f>
        <v>-0.72091300000000214</v>
      </c>
      <c r="J19" s="9">
        <f t="shared" ref="J19" si="44">J17-J18</f>
        <v>0</v>
      </c>
      <c r="K19" s="8"/>
      <c r="L19" s="9">
        <f t="shared" ref="L19" si="45">L17-L18</f>
        <v>-0.3216340000000002</v>
      </c>
      <c r="M19" s="9">
        <f t="shared" ref="M19" si="46">M17-M18</f>
        <v>-5.4832440000000071</v>
      </c>
      <c r="N19" s="9">
        <f t="shared" ref="N19" si="47">N17-N18</f>
        <v>-2.9224702547039971</v>
      </c>
      <c r="O19" s="9">
        <f t="shared" ref="O19" si="48">O17-O18</f>
        <v>-1.5669185884684909</v>
      </c>
      <c r="P19" s="9">
        <f t="shared" ref="P19" si="49">P17-P18</f>
        <v>-2.9905645014450428E-3</v>
      </c>
      <c r="Q19" s="9">
        <f t="shared" ref="Q19" si="50">Q17-Q18</f>
        <v>1.7932246725179537</v>
      </c>
      <c r="R19" s="9">
        <f t="shared" ref="R19" si="51">R17-R18</f>
        <v>3.8481194014585958</v>
      </c>
      <c r="S19" s="9">
        <f t="shared" ref="S19" si="52">S17-S18</f>
        <v>6.190815387539649</v>
      </c>
      <c r="T19" s="9">
        <f t="shared" ref="T19" si="53">T17-T18</f>
        <v>8.8534364239033643</v>
      </c>
      <c r="U19" s="9">
        <f t="shared" ref="U19" si="54">U17-U18</f>
        <v>11.871407761007948</v>
      </c>
      <c r="V19" s="3">
        <f>U19*(1+$X$4)</f>
        <v>11.752693683397869</v>
      </c>
      <c r="W19" s="3">
        <f t="shared" ref="W19:CH19" si="55">V19*(1+$X$4)</f>
        <v>11.63516674656389</v>
      </c>
      <c r="X19" s="3">
        <f t="shared" si="55"/>
        <v>11.518815079098252</v>
      </c>
      <c r="Y19" s="3">
        <f t="shared" si="55"/>
        <v>11.403626928307268</v>
      </c>
      <c r="Z19" s="3">
        <f t="shared" si="55"/>
        <v>11.289590659024196</v>
      </c>
      <c r="AA19" s="3">
        <f t="shared" si="55"/>
        <v>11.176694752433953</v>
      </c>
      <c r="AB19" s="3">
        <f t="shared" si="55"/>
        <v>11.064927804909614</v>
      </c>
      <c r="AC19" s="3">
        <f t="shared" si="55"/>
        <v>10.954278526860517</v>
      </c>
      <c r="AD19" s="3">
        <f t="shared" si="55"/>
        <v>10.844735741591911</v>
      </c>
      <c r="AE19" s="3">
        <f t="shared" si="55"/>
        <v>10.736288384175992</v>
      </c>
      <c r="AF19" s="3">
        <f t="shared" si="55"/>
        <v>10.628925500334232</v>
      </c>
      <c r="AG19" s="3">
        <f t="shared" si="55"/>
        <v>10.522636245330888</v>
      </c>
      <c r="AH19" s="3">
        <f t="shared" si="55"/>
        <v>10.41740988287758</v>
      </c>
      <c r="AI19" s="3">
        <f t="shared" si="55"/>
        <v>10.313235784048803</v>
      </c>
      <c r="AJ19" s="3">
        <f t="shared" si="55"/>
        <v>10.210103426208315</v>
      </c>
      <c r="AK19" s="3">
        <f t="shared" si="55"/>
        <v>10.108002391946231</v>
      </c>
      <c r="AL19" s="3">
        <f t="shared" si="55"/>
        <v>10.006922368026769</v>
      </c>
      <c r="AM19" s="3">
        <f t="shared" si="55"/>
        <v>9.9068531443465009</v>
      </c>
      <c r="AN19" s="3">
        <f t="shared" si="55"/>
        <v>9.8077846129030366</v>
      </c>
      <c r="AO19" s="3">
        <f t="shared" si="55"/>
        <v>9.7097067667740067</v>
      </c>
      <c r="AP19" s="3">
        <f t="shared" si="55"/>
        <v>9.6126096991062671</v>
      </c>
      <c r="AQ19" s="3">
        <f t="shared" si="55"/>
        <v>9.5164836021152048</v>
      </c>
      <c r="AR19" s="3">
        <f t="shared" si="55"/>
        <v>9.4213187660940534</v>
      </c>
      <c r="AS19" s="3">
        <f t="shared" si="55"/>
        <v>9.3271055784331125</v>
      </c>
      <c r="AT19" s="3">
        <f t="shared" si="55"/>
        <v>9.233834522648781</v>
      </c>
      <c r="AU19" s="3">
        <f t="shared" si="55"/>
        <v>9.1414961774222938</v>
      </c>
      <c r="AV19" s="3">
        <f t="shared" si="55"/>
        <v>9.0500812156480706</v>
      </c>
      <c r="AW19" s="3">
        <f t="shared" si="55"/>
        <v>8.9595804034915894</v>
      </c>
      <c r="AX19" s="3">
        <f t="shared" si="55"/>
        <v>8.8699845994566733</v>
      </c>
      <c r="AY19" s="3">
        <f t="shared" si="55"/>
        <v>8.7812847534621064</v>
      </c>
      <c r="AZ19" s="3">
        <f t="shared" si="55"/>
        <v>8.6934719059274848</v>
      </c>
      <c r="BA19" s="3">
        <f t="shared" si="55"/>
        <v>8.6065371868682092</v>
      </c>
      <c r="BB19" s="3">
        <f t="shared" si="55"/>
        <v>8.5204718149995262</v>
      </c>
      <c r="BC19" s="3">
        <f t="shared" si="55"/>
        <v>8.4352670968495307</v>
      </c>
      <c r="BD19" s="3">
        <f t="shared" si="55"/>
        <v>8.3509144258810348</v>
      </c>
      <c r="BE19" s="3">
        <f t="shared" si="55"/>
        <v>8.2674052816222243</v>
      </c>
      <c r="BF19" s="3">
        <f t="shared" si="55"/>
        <v>8.1847312288060028</v>
      </c>
      <c r="BG19" s="3">
        <f t="shared" si="55"/>
        <v>8.1028839165179427</v>
      </c>
      <c r="BH19" s="3">
        <f t="shared" si="55"/>
        <v>8.0218550773527628</v>
      </c>
      <c r="BI19" s="3">
        <f t="shared" si="55"/>
        <v>7.9416365265792352</v>
      </c>
      <c r="BJ19" s="3">
        <f t="shared" si="55"/>
        <v>7.8622201613134433</v>
      </c>
      <c r="BK19" s="3">
        <f t="shared" si="55"/>
        <v>7.7835979597003089</v>
      </c>
      <c r="BL19" s="3">
        <f t="shared" si="55"/>
        <v>7.7057619801033059</v>
      </c>
      <c r="BM19" s="3">
        <f t="shared" si="55"/>
        <v>7.6287043603022724</v>
      </c>
      <c r="BN19" s="3">
        <f t="shared" si="55"/>
        <v>7.5524173166992492</v>
      </c>
      <c r="BO19" s="3">
        <f t="shared" si="55"/>
        <v>7.4768931435322568</v>
      </c>
      <c r="BP19" s="3">
        <f t="shared" si="55"/>
        <v>7.4021242120969344</v>
      </c>
      <c r="BQ19" s="3">
        <f t="shared" si="55"/>
        <v>7.3281029699759648</v>
      </c>
      <c r="BR19" s="3">
        <f t="shared" si="55"/>
        <v>7.2548219402762051</v>
      </c>
      <c r="BS19" s="3">
        <f t="shared" si="55"/>
        <v>7.1822737208734431</v>
      </c>
      <c r="BT19" s="3">
        <f t="shared" si="55"/>
        <v>7.110450983664709</v>
      </c>
      <c r="BU19" s="3">
        <f t="shared" si="55"/>
        <v>7.0393464738280622</v>
      </c>
      <c r="BV19" s="3">
        <f t="shared" si="55"/>
        <v>6.9689530090897813</v>
      </c>
      <c r="BW19" s="3">
        <f t="shared" si="55"/>
        <v>6.8992634789988836</v>
      </c>
      <c r="BX19" s="3">
        <f t="shared" si="55"/>
        <v>6.8302708442088944</v>
      </c>
      <c r="BY19" s="3">
        <f t="shared" si="55"/>
        <v>6.7619681357668053</v>
      </c>
      <c r="BZ19" s="3">
        <f t="shared" si="55"/>
        <v>6.6943484544091376</v>
      </c>
      <c r="CA19" s="3">
        <f t="shared" si="55"/>
        <v>6.6274049698650463</v>
      </c>
      <c r="CB19" s="3">
        <f t="shared" si="55"/>
        <v>6.5611309201663959</v>
      </c>
      <c r="CC19" s="3">
        <f t="shared" si="55"/>
        <v>6.495519610964732</v>
      </c>
      <c r="CD19" s="3">
        <f t="shared" si="55"/>
        <v>6.4305644148550849</v>
      </c>
      <c r="CE19" s="3">
        <f t="shared" si="55"/>
        <v>6.3662587707065343</v>
      </c>
      <c r="CF19" s="3">
        <f t="shared" si="55"/>
        <v>6.3025961829994692</v>
      </c>
      <c r="CG19" s="3">
        <f t="shared" si="55"/>
        <v>6.2395702211694744</v>
      </c>
      <c r="CH19" s="3">
        <f t="shared" si="55"/>
        <v>6.1771745189577798</v>
      </c>
      <c r="CI19" s="3">
        <f t="shared" ref="CI19" si="56">CH19*(1+$X$4)</f>
        <v>6.115402773768202</v>
      </c>
    </row>
    <row r="20" spans="1:87" x14ac:dyDescent="0.3">
      <c r="B20" t="s">
        <v>21</v>
      </c>
      <c r="C20" s="8">
        <v>20.28</v>
      </c>
      <c r="D20" s="8">
        <v>20.316572000000001</v>
      </c>
      <c r="E20" s="8">
        <v>20.371653999999999</v>
      </c>
      <c r="F20" s="8"/>
      <c r="G20" s="8">
        <v>20.122</v>
      </c>
      <c r="H20" s="8">
        <v>20.128429000000001</v>
      </c>
      <c r="I20" s="8">
        <v>20.098244000000001</v>
      </c>
      <c r="J20" s="8"/>
      <c r="K20" s="8"/>
      <c r="L20" s="8">
        <v>20.027999999999999</v>
      </c>
      <c r="M20" s="8">
        <v>20.379386</v>
      </c>
      <c r="N20" s="8">
        <f>M20*0.985</f>
        <v>20.07369521</v>
      </c>
      <c r="O20" s="8">
        <f t="shared" ref="O20:U20" si="57">N20*0.985</f>
        <v>19.772589781850002</v>
      </c>
      <c r="P20" s="8">
        <f t="shared" si="57"/>
        <v>19.476000935122251</v>
      </c>
      <c r="Q20" s="8">
        <f t="shared" si="57"/>
        <v>19.183860921095416</v>
      </c>
      <c r="R20" s="8">
        <f t="shared" si="57"/>
        <v>18.896103007278985</v>
      </c>
      <c r="S20" s="8">
        <f t="shared" si="57"/>
        <v>18.6126614621698</v>
      </c>
      <c r="T20" s="8">
        <f t="shared" si="57"/>
        <v>18.333471540237252</v>
      </c>
      <c r="U20" s="8">
        <f t="shared" si="57"/>
        <v>18.058469467133694</v>
      </c>
    </row>
    <row r="21" spans="1:87" x14ac:dyDescent="0.3">
      <c r="A21" s="3"/>
      <c r="B21" s="3" t="s">
        <v>22</v>
      </c>
      <c r="C21" s="3">
        <f t="shared" ref="C21:H21" si="58">C19/C20</f>
        <v>-7.9993589743589832E-2</v>
      </c>
      <c r="D21" s="3">
        <f t="shared" si="58"/>
        <v>-9.5505531149644801E-2</v>
      </c>
      <c r="E21" s="3">
        <f t="shared" si="58"/>
        <v>-8.687414384713199E-2</v>
      </c>
      <c r="F21" s="3" t="e">
        <f t="shared" si="58"/>
        <v>#DIV/0!</v>
      </c>
      <c r="G21" s="3">
        <f t="shared" si="58"/>
        <v>7.3715336447661073E-4</v>
      </c>
      <c r="H21" s="3">
        <f t="shared" si="58"/>
        <v>1.0186637019709786E-2</v>
      </c>
      <c r="I21" s="3">
        <f>I19/I20</f>
        <v>-3.5869452077504985E-2</v>
      </c>
      <c r="J21" s="3" t="e">
        <f t="shared" ref="J21" si="59">J19/J20</f>
        <v>#DIV/0!</v>
      </c>
      <c r="L21" s="5">
        <f t="shared" ref="L21" si="60">L19/L20</f>
        <v>-1.6059217096065521E-2</v>
      </c>
      <c r="M21" s="5">
        <f t="shared" ref="M21" si="61">M19/M20</f>
        <v>-0.26905835141451301</v>
      </c>
      <c r="N21" s="5">
        <f t="shared" ref="N21" si="62">N19/N20</f>
        <v>-0.14558705928981758</v>
      </c>
      <c r="O21" s="5">
        <f t="shared" ref="O21" si="63">O19/O20</f>
        <v>-7.9247008396786944E-2</v>
      </c>
      <c r="P21" s="5">
        <f t="shared" ref="P21" si="64">P19/P20</f>
        <v>-1.5355126092913546E-4</v>
      </c>
      <c r="Q21" s="5">
        <f t="shared" ref="Q21" si="65">Q19/Q20</f>
        <v>9.3475691879419592E-2</v>
      </c>
      <c r="R21" s="5">
        <f t="shared" ref="R21" si="66">R19/R20</f>
        <v>0.20364619096203371</v>
      </c>
      <c r="S21" s="5">
        <f t="shared" ref="S21" si="67">S19/S20</f>
        <v>0.33261311930711629</v>
      </c>
      <c r="T21" s="5">
        <f t="shared" ref="T21" si="68">T19/T20</f>
        <v>0.48291107357776458</v>
      </c>
      <c r="U21" s="5">
        <f t="shared" ref="U21" si="69">U19/U20</f>
        <v>0.65738725990116931</v>
      </c>
    </row>
    <row r="23" spans="1:87" x14ac:dyDescent="0.3">
      <c r="B23" t="s">
        <v>31</v>
      </c>
      <c r="C23">
        <v>-7.2339599999999997</v>
      </c>
      <c r="G23">
        <v>-0.207292</v>
      </c>
      <c r="L23">
        <v>29.784917</v>
      </c>
      <c r="M23">
        <v>-17.036477000000001</v>
      </c>
    </row>
    <row r="24" spans="1:87" x14ac:dyDescent="0.3">
      <c r="B24" t="s">
        <v>32</v>
      </c>
      <c r="C24">
        <v>7.2068999999999994E-2</v>
      </c>
      <c r="G24">
        <v>0.21773500000000001</v>
      </c>
      <c r="L24">
        <v>1.273039</v>
      </c>
      <c r="M24">
        <v>0.81224200000000002</v>
      </c>
    </row>
    <row r="25" spans="1:87" x14ac:dyDescent="0.3">
      <c r="B25" t="s">
        <v>33</v>
      </c>
      <c r="C25">
        <f t="shared" ref="C25:F25" si="70">C23-C24</f>
        <v>-7.3060289999999997</v>
      </c>
      <c r="D25">
        <f t="shared" si="70"/>
        <v>0</v>
      </c>
      <c r="E25">
        <f t="shared" si="70"/>
        <v>0</v>
      </c>
      <c r="F25">
        <f t="shared" si="70"/>
        <v>0</v>
      </c>
      <c r="G25">
        <f>G23-G24</f>
        <v>-0.42502700000000004</v>
      </c>
      <c r="H25">
        <f t="shared" ref="H25:I25" si="71">H23-H24</f>
        <v>0</v>
      </c>
      <c r="I25">
        <f t="shared" si="71"/>
        <v>0</v>
      </c>
      <c r="L25">
        <f t="shared" ref="L25" si="72">L23-L24</f>
        <v>28.511877999999999</v>
      </c>
      <c r="M25">
        <f>M23-M24</f>
        <v>-17.848719000000003</v>
      </c>
    </row>
    <row r="27" spans="1:87" x14ac:dyDescent="0.3">
      <c r="B27" t="s">
        <v>38</v>
      </c>
      <c r="C27" s="4"/>
      <c r="D27" s="4"/>
      <c r="E27" s="4"/>
      <c r="F27" s="4"/>
      <c r="G27" s="4">
        <f t="shared" ref="G27:H27" si="73">G7/C7-1</f>
        <v>0.1841332804530289</v>
      </c>
      <c r="H27" s="4">
        <f t="shared" si="73"/>
        <v>0.31118140792810145</v>
      </c>
      <c r="I27" s="4">
        <f>I7/E7-1</f>
        <v>0.25156997906775902</v>
      </c>
      <c r="L27" s="7" t="e">
        <f t="shared" ref="L27" si="74">L7/K7-1</f>
        <v>#DIV/0!</v>
      </c>
      <c r="M27" s="7">
        <f>M7/L7-1</f>
        <v>0.12085387637104161</v>
      </c>
      <c r="N27" s="7">
        <f t="shared" ref="N27:U27" si="75">N7/M7-1</f>
        <v>7.2311802315151885E-2</v>
      </c>
      <c r="O27" s="7">
        <f t="shared" si="75"/>
        <v>7.3041638082323557E-2</v>
      </c>
      <c r="P27" s="7">
        <f t="shared" si="75"/>
        <v>7.3758193492662327E-2</v>
      </c>
      <c r="Q27" s="7">
        <f t="shared" si="75"/>
        <v>7.4461112136315455E-2</v>
      </c>
      <c r="R27" s="7">
        <f t="shared" si="75"/>
        <v>7.5150090048824003E-2</v>
      </c>
      <c r="S27" s="7">
        <f t="shared" si="75"/>
        <v>7.5824874406801746E-2</v>
      </c>
      <c r="T27" s="7">
        <f t="shared" si="75"/>
        <v>7.6485261928438186E-2</v>
      </c>
      <c r="U27" s="7">
        <f t="shared" si="75"/>
        <v>7.71310970164234E-2</v>
      </c>
    </row>
    <row r="28" spans="1:87" x14ac:dyDescent="0.3">
      <c r="B28" t="s">
        <v>41</v>
      </c>
      <c r="C28" s="4">
        <f t="shared" ref="C28:H28" si="76">C9/C7</f>
        <v>0.19375310820406849</v>
      </c>
      <c r="D28" s="4">
        <f t="shared" si="76"/>
        <v>0.20103398647457771</v>
      </c>
      <c r="E28" s="4">
        <f t="shared" si="76"/>
        <v>0.1911786949796776</v>
      </c>
      <c r="F28" s="4" t="e">
        <f t="shared" si="76"/>
        <v>#DIV/0!</v>
      </c>
      <c r="G28" s="4">
        <f t="shared" si="76"/>
        <v>0.22856286629957204</v>
      </c>
      <c r="H28" s="4">
        <f t="shared" si="76"/>
        <v>0.23566867117812657</v>
      </c>
      <c r="I28" s="4">
        <f>I9/I7</f>
        <v>0.20441315077000527</v>
      </c>
      <c r="L28" s="7">
        <f t="shared" ref="L28" si="77">L9/L7</f>
        <v>0.25237367617962492</v>
      </c>
      <c r="M28" s="7">
        <f>M9/M7</f>
        <v>0.21019122105637483</v>
      </c>
      <c r="N28" s="7">
        <f t="shared" ref="N28:U28" si="78">N9/N7</f>
        <v>0.2266249274694862</v>
      </c>
      <c r="O28" s="7">
        <f t="shared" si="78"/>
        <v>0.24323176535043298</v>
      </c>
      <c r="P28" s="7">
        <f t="shared" si="78"/>
        <v>0.25997617415389213</v>
      </c>
      <c r="Q28" s="7">
        <f t="shared" si="78"/>
        <v>0.27682350867638172</v>
      </c>
      <c r="R28" s="7">
        <f t="shared" si="78"/>
        <v>0.29374017365769201</v>
      </c>
      <c r="S28" s="7">
        <f t="shared" si="78"/>
        <v>0.31069374272618622</v>
      </c>
      <c r="T28" s="7">
        <f t="shared" si="78"/>
        <v>0.32765306155615637</v>
      </c>
      <c r="U28" s="7">
        <f t="shared" si="78"/>
        <v>0.34458833532751326</v>
      </c>
    </row>
    <row r="29" spans="1:87" x14ac:dyDescent="0.3">
      <c r="B29" t="s">
        <v>42</v>
      </c>
      <c r="C29" s="4">
        <f t="shared" ref="C29:H29" si="79">C14/C7</f>
        <v>-8.5671946028519366E-2</v>
      </c>
      <c r="D29" s="4">
        <f t="shared" si="79"/>
        <v>-0.11534676978821626</v>
      </c>
      <c r="E29" s="4">
        <f t="shared" si="79"/>
        <v>-0.10378018463310038</v>
      </c>
      <c r="F29" s="4" t="e">
        <f t="shared" si="79"/>
        <v>#DIV/0!</v>
      </c>
      <c r="G29" s="4">
        <f>G14/G7</f>
        <v>2.7944287120851372E-4</v>
      </c>
      <c r="H29" s="4">
        <f t="shared" si="79"/>
        <v>2.6257535495975716E-3</v>
      </c>
      <c r="I29" s="4">
        <f>I14/I7</f>
        <v>-5.9092735872489408E-2</v>
      </c>
      <c r="L29" s="7">
        <f t="shared" ref="L29" si="80">L14/L7</f>
        <v>-2.5084790178010168E-3</v>
      </c>
      <c r="M29" s="7">
        <f>M14/M7</f>
        <v>-7.5105268695604507E-2</v>
      </c>
      <c r="N29" s="7">
        <f t="shared" ref="N29:U29" si="81">N14/N7</f>
        <v>-5.047539275767382E-2</v>
      </c>
      <c r="O29" s="7">
        <f t="shared" si="81"/>
        <v>-2.5283747689306798E-2</v>
      </c>
      <c r="P29" s="7">
        <f t="shared" si="81"/>
        <v>-1.712287955953447E-4</v>
      </c>
      <c r="Q29" s="7">
        <f t="shared" si="81"/>
        <v>2.4827570463941628E-2</v>
      </c>
      <c r="R29" s="7">
        <f t="shared" si="81"/>
        <v>4.9679371902975368E-2</v>
      </c>
      <c r="S29" s="7">
        <f t="shared" si="81"/>
        <v>7.4352340174725612E-2</v>
      </c>
      <c r="T29" s="7">
        <f t="shared" si="81"/>
        <v>9.8816190817370017E-2</v>
      </c>
      <c r="U29" s="7">
        <f t="shared" si="81"/>
        <v>0.1230422791411093</v>
      </c>
    </row>
    <row r="30" spans="1:87" x14ac:dyDescent="0.3">
      <c r="B30" t="s">
        <v>43</v>
      </c>
      <c r="C30" s="4">
        <f t="shared" ref="C30:H30" si="82">C19/C7</f>
        <v>-8.9572043332181495E-2</v>
      </c>
      <c r="D30" s="4">
        <f t="shared" si="82"/>
        <v>-0.11965852076810081</v>
      </c>
      <c r="E30" s="4">
        <f t="shared" si="82"/>
        <v>-0.10794071150102233</v>
      </c>
      <c r="F30" s="4" t="e">
        <f t="shared" si="82"/>
        <v>#DIV/0!</v>
      </c>
      <c r="G30" s="4">
        <f t="shared" si="82"/>
        <v>6.9163626040990493E-4</v>
      </c>
      <c r="H30" s="4">
        <f t="shared" si="82"/>
        <v>9.6436758179235492E-3</v>
      </c>
      <c r="I30" s="4">
        <f>I19/I7</f>
        <v>-3.5131457457468977E-2</v>
      </c>
      <c r="L30" s="7">
        <f t="shared" ref="L30" si="83">L19/L7</f>
        <v>-5.1924761741230377E-3</v>
      </c>
      <c r="M30" s="7">
        <f>M19/M7</f>
        <v>-7.897709125322637E-2</v>
      </c>
      <c r="N30" s="7">
        <f t="shared" ref="N30:U30" si="84">N19/N7</f>
        <v>-3.925478255009144E-2</v>
      </c>
      <c r="O30" s="7">
        <f t="shared" si="84"/>
        <v>-1.9614278364720222E-2</v>
      </c>
      <c r="P30" s="7">
        <f t="shared" si="84"/>
        <v>-3.486362847653793E-5</v>
      </c>
      <c r="Q30" s="7">
        <f t="shared" si="84"/>
        <v>1.9456441602264073E-2</v>
      </c>
      <c r="R30" s="7">
        <f t="shared" si="84"/>
        <v>3.8833644694789553E-2</v>
      </c>
      <c r="S30" s="7">
        <f t="shared" si="84"/>
        <v>5.8071879944648505E-2</v>
      </c>
      <c r="T30" s="7">
        <f t="shared" si="84"/>
        <v>7.7147492847467566E-2</v>
      </c>
      <c r="U30" s="7">
        <f t="shared" si="84"/>
        <v>9.6038109421104606E-2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2024-01-13T09:56:40Z</dcterms:created>
  <dcterms:modified xsi:type="dcterms:W3CDTF">2024-02-07T14:58:51Z</dcterms:modified>
</cp:coreProperties>
</file>