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d.docs.live.net/decc0a7aee32c85f/Ambiente de Trabalho/models/"/>
    </mc:Choice>
  </mc:AlternateContent>
  <xr:revisionPtr revIDLastSave="197" documentId="13_ncr:1_{F3674EA8-AF3D-7F4C-B2B6-A33B5EEEB72E}" xr6:coauthVersionLast="47" xr6:coauthVersionMax="47" xr10:uidLastSave="{3A3D92ED-1AEE-45A8-B552-5B5A2DA2D705}"/>
  <bookViews>
    <workbookView xWindow="-120" yWindow="-120" windowWidth="29040" windowHeight="15720" activeTab="1" xr2:uid="{671F92A2-FE29-B14B-B72A-BB4706BDC1FC}"/>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D6" i="2" l="1"/>
  <c r="U35" i="2"/>
  <c r="W18" i="2" s="1"/>
  <c r="T35" i="2"/>
  <c r="V18" i="2" s="1"/>
  <c r="U18" i="2"/>
  <c r="S35" i="2"/>
  <c r="U14" i="2"/>
  <c r="V14" i="2" s="1"/>
  <c r="W14" i="2" s="1"/>
  <c r="X14" i="2" s="1"/>
  <c r="Y14" i="2" s="1"/>
  <c r="Z14" i="2" s="1"/>
  <c r="AA14" i="2" s="1"/>
  <c r="T14" i="2"/>
  <c r="U9" i="2"/>
  <c r="V9" i="2" s="1"/>
  <c r="W9" i="2" s="1"/>
  <c r="X9" i="2" s="1"/>
  <c r="Y9" i="2" s="1"/>
  <c r="Z9" i="2" s="1"/>
  <c r="AA9" i="2" s="1"/>
  <c r="T9" i="2"/>
  <c r="V23" i="2"/>
  <c r="W23" i="2" s="1"/>
  <c r="X23" i="2" s="1"/>
  <c r="Y23" i="2" s="1"/>
  <c r="Z23" i="2" s="1"/>
  <c r="AA23" i="2" s="1"/>
  <c r="U23" i="2"/>
  <c r="V15" i="2"/>
  <c r="W15" i="2" s="1"/>
  <c r="X15" i="2" s="1"/>
  <c r="Y15" i="2" s="1"/>
  <c r="Z15" i="2" s="1"/>
  <c r="AA15" i="2" s="1"/>
  <c r="V13" i="2"/>
  <c r="W13" i="2" s="1"/>
  <c r="X13" i="2" s="1"/>
  <c r="Y13" i="2" s="1"/>
  <c r="Z13" i="2" s="1"/>
  <c r="AA13" i="2" s="1"/>
  <c r="V12" i="2"/>
  <c r="W12" i="2" s="1"/>
  <c r="X12" i="2" s="1"/>
  <c r="Y12" i="2" s="1"/>
  <c r="Z12" i="2" s="1"/>
  <c r="AA12" i="2" s="1"/>
  <c r="V11" i="2"/>
  <c r="W11" i="2" s="1"/>
  <c r="X11" i="2" s="1"/>
  <c r="Y11" i="2" s="1"/>
  <c r="Z11" i="2" s="1"/>
  <c r="AA11" i="2" s="1"/>
  <c r="V10" i="2"/>
  <c r="W10" i="2" s="1"/>
  <c r="X10" i="2" s="1"/>
  <c r="Y10" i="2" s="1"/>
  <c r="Z10" i="2" s="1"/>
  <c r="AA10" i="2" s="1"/>
  <c r="U15" i="2"/>
  <c r="U13" i="2"/>
  <c r="U12" i="2"/>
  <c r="U11" i="2"/>
  <c r="U10" i="2"/>
  <c r="V8" i="2"/>
  <c r="W8" i="2" s="1"/>
  <c r="X8" i="2" s="1"/>
  <c r="Y8" i="2" s="1"/>
  <c r="Z8" i="2" s="1"/>
  <c r="AA8" i="2" s="1"/>
  <c r="U8" i="2"/>
  <c r="K35" i="2"/>
  <c r="H35" i="2"/>
  <c r="K56" i="2"/>
  <c r="K47" i="2"/>
  <c r="K41" i="2"/>
  <c r="K39" i="2"/>
  <c r="K44" i="2"/>
  <c r="K43" i="2"/>
  <c r="K38" i="2"/>
  <c r="K23" i="2"/>
  <c r="T8" i="2"/>
  <c r="T23" i="2"/>
  <c r="T16" i="2" l="1"/>
  <c r="T17" i="2" s="1"/>
  <c r="T20" i="2" s="1"/>
  <c r="T22" i="2" s="1"/>
  <c r="T24" i="2" s="1"/>
  <c r="U16" i="2"/>
  <c r="U17" i="2" s="1"/>
  <c r="U20" i="2" s="1"/>
  <c r="W16" i="2"/>
  <c r="W17" i="2" s="1"/>
  <c r="W20" i="2" s="1"/>
  <c r="V16" i="2"/>
  <c r="V17" i="2" s="1"/>
  <c r="V20" i="2" s="1"/>
  <c r="K45" i="2"/>
  <c r="K57" i="2"/>
  <c r="K58" i="2" s="1"/>
  <c r="V29" i="2"/>
  <c r="E21" i="2"/>
  <c r="E19" i="2"/>
  <c r="E18" i="2"/>
  <c r="E15" i="2"/>
  <c r="E14" i="2"/>
  <c r="E13" i="2"/>
  <c r="E12" i="2"/>
  <c r="E11" i="2"/>
  <c r="E10" i="2"/>
  <c r="E9" i="2"/>
  <c r="E7" i="2"/>
  <c r="E6" i="2"/>
  <c r="E5" i="2"/>
  <c r="E4" i="2"/>
  <c r="E3" i="2"/>
  <c r="T2" i="2"/>
  <c r="U2" i="2" s="1"/>
  <c r="V2" i="2" s="1"/>
  <c r="W2" i="2" s="1"/>
  <c r="X2" i="2" s="1"/>
  <c r="Y2" i="2" s="1"/>
  <c r="Z2" i="2" s="1"/>
  <c r="AA2" i="2" s="1"/>
  <c r="S8" i="2"/>
  <c r="R8" i="2"/>
  <c r="Q8" i="2"/>
  <c r="S33" i="2"/>
  <c r="R33" i="2"/>
  <c r="Q33" i="2"/>
  <c r="M33" i="2"/>
  <c r="Q23" i="2"/>
  <c r="R23" i="2"/>
  <c r="S23" i="2"/>
  <c r="E23" i="2" s="1"/>
  <c r="S16" i="2"/>
  <c r="R16" i="2"/>
  <c r="Q16" i="2"/>
  <c r="B23" i="2"/>
  <c r="F23" i="2"/>
  <c r="C23" i="2"/>
  <c r="G23" i="2"/>
  <c r="D23" i="2"/>
  <c r="I16" i="2"/>
  <c r="J16" i="2"/>
  <c r="K16" i="2"/>
  <c r="L16" i="2"/>
  <c r="M16" i="2"/>
  <c r="B16" i="2"/>
  <c r="C16" i="2"/>
  <c r="D16" i="2"/>
  <c r="F16" i="2"/>
  <c r="G16" i="2"/>
  <c r="I33" i="2"/>
  <c r="J33" i="2"/>
  <c r="K33" i="2"/>
  <c r="L33" i="2"/>
  <c r="B33" i="2"/>
  <c r="C33" i="2"/>
  <c r="D33" i="2"/>
  <c r="E33" i="2"/>
  <c r="F33" i="2"/>
  <c r="G33" i="2"/>
  <c r="H33" i="2"/>
  <c r="H47" i="2"/>
  <c r="H56" i="2" s="1"/>
  <c r="H44" i="2"/>
  <c r="H43" i="2"/>
  <c r="H41" i="2"/>
  <c r="H39" i="2"/>
  <c r="H38" i="2"/>
  <c r="AD5" i="2" s="1"/>
  <c r="H23" i="2"/>
  <c r="H16" i="2"/>
  <c r="B8" i="2"/>
  <c r="M8" i="2"/>
  <c r="L8" i="2"/>
  <c r="K8" i="2"/>
  <c r="J8" i="2"/>
  <c r="I8" i="2"/>
  <c r="G8" i="2"/>
  <c r="F8" i="2"/>
  <c r="D8" i="2"/>
  <c r="C8" i="2"/>
  <c r="H8" i="2"/>
  <c r="B6" i="1"/>
  <c r="B4" i="1"/>
  <c r="B3" i="1" a="1"/>
  <c r="B3" i="1" s="1"/>
  <c r="B5" i="1" s="1"/>
  <c r="B8" i="1" s="1"/>
  <c r="V21" i="2" l="1"/>
  <c r="V22" i="2" s="1"/>
  <c r="U21" i="2"/>
  <c r="U22" i="2" s="1"/>
  <c r="U24" i="2" s="1"/>
  <c r="W21" i="2"/>
  <c r="W22" i="2" s="1"/>
  <c r="W24" i="2" s="1"/>
  <c r="X16" i="2"/>
  <c r="X17" i="2" s="1"/>
  <c r="K29" i="2"/>
  <c r="L29" i="2"/>
  <c r="M29" i="2"/>
  <c r="J29" i="2"/>
  <c r="S29" i="2"/>
  <c r="J17" i="2"/>
  <c r="J20" i="2" s="1"/>
  <c r="J22" i="2" s="1"/>
  <c r="J24" i="2" s="1"/>
  <c r="T29" i="2"/>
  <c r="O33" i="2"/>
  <c r="U33" i="2" s="1"/>
  <c r="F29" i="2"/>
  <c r="G29" i="2"/>
  <c r="R29" i="2"/>
  <c r="O31" i="2"/>
  <c r="H29" i="2"/>
  <c r="E16" i="2"/>
  <c r="U29" i="2"/>
  <c r="E8" i="2"/>
  <c r="I29" i="2" s="1"/>
  <c r="Q17" i="2"/>
  <c r="Q20" i="2" s="1"/>
  <c r="Q22" i="2" s="1"/>
  <c r="Q27" i="2" s="1"/>
  <c r="W29" i="2"/>
  <c r="R17" i="2"/>
  <c r="R20" i="2" s="1"/>
  <c r="R22" i="2" s="1"/>
  <c r="S17" i="2"/>
  <c r="W26" i="2" s="1"/>
  <c r="C17" i="2"/>
  <c r="C20" i="2" s="1"/>
  <c r="C22" i="2" s="1"/>
  <c r="C24" i="2" s="1"/>
  <c r="G17" i="2"/>
  <c r="G20" i="2" s="1"/>
  <c r="G22" i="2" s="1"/>
  <c r="G24" i="2" s="1"/>
  <c r="L17" i="2"/>
  <c r="L26" i="2" s="1"/>
  <c r="K17" i="2"/>
  <c r="K26" i="2" s="1"/>
  <c r="D17" i="2"/>
  <c r="D20" i="2" s="1"/>
  <c r="D22" i="2" s="1"/>
  <c r="F17" i="2"/>
  <c r="F26" i="2" s="1"/>
  <c r="I17" i="2"/>
  <c r="I20" i="2" s="1"/>
  <c r="I22" i="2" s="1"/>
  <c r="I24" i="2" s="1"/>
  <c r="H45" i="2"/>
  <c r="H57" i="2" s="1"/>
  <c r="H58" i="2" s="1"/>
  <c r="H17" i="2"/>
  <c r="H20" i="2" s="1"/>
  <c r="H22" i="2" s="1"/>
  <c r="M17" i="2"/>
  <c r="B17" i="2"/>
  <c r="V24" i="2" l="1"/>
  <c r="V35" i="2"/>
  <c r="Y16" i="2"/>
  <c r="Y17" i="2" s="1"/>
  <c r="V33" i="2"/>
  <c r="W33" i="2"/>
  <c r="J26" i="2"/>
  <c r="J27" i="2"/>
  <c r="R26" i="2"/>
  <c r="T33" i="2"/>
  <c r="D24" i="2"/>
  <c r="D27" i="2"/>
  <c r="Q26" i="2"/>
  <c r="Q24" i="2"/>
  <c r="D26" i="2"/>
  <c r="L20" i="2"/>
  <c r="L22" i="2" s="1"/>
  <c r="V26" i="2"/>
  <c r="T26" i="2"/>
  <c r="U26" i="2"/>
  <c r="K20" i="2"/>
  <c r="K22" i="2" s="1"/>
  <c r="K24" i="2" s="1"/>
  <c r="X29" i="2"/>
  <c r="X26" i="2"/>
  <c r="X33" i="2"/>
  <c r="E17" i="2"/>
  <c r="E26" i="2" s="1"/>
  <c r="I27" i="2"/>
  <c r="R27" i="2"/>
  <c r="R24" i="2"/>
  <c r="S20" i="2"/>
  <c r="S26" i="2"/>
  <c r="F20" i="2"/>
  <c r="F22" i="2" s="1"/>
  <c r="C26" i="2"/>
  <c r="C27" i="2"/>
  <c r="G26" i="2"/>
  <c r="G27" i="2"/>
  <c r="I26" i="2"/>
  <c r="M26" i="2"/>
  <c r="M20" i="2"/>
  <c r="M22" i="2" s="1"/>
  <c r="H26" i="2"/>
  <c r="H27" i="2"/>
  <c r="H24" i="2"/>
  <c r="B26" i="2"/>
  <c r="B20" i="2"/>
  <c r="B22" i="2" s="1"/>
  <c r="X18" i="2" l="1"/>
  <c r="X20" i="2" s="1"/>
  <c r="X21" i="2" s="1"/>
  <c r="X22" i="2" s="1"/>
  <c r="X24" i="2" s="1"/>
  <c r="W35" i="2"/>
  <c r="Z16" i="2"/>
  <c r="Z17" i="2" s="1"/>
  <c r="AA16" i="2"/>
  <c r="AA17" i="2" s="1"/>
  <c r="S22" i="2"/>
  <c r="K27" i="2"/>
  <c r="L24" i="2"/>
  <c r="L27" i="2"/>
  <c r="Y26" i="2"/>
  <c r="Y29" i="2"/>
  <c r="Y33" i="2"/>
  <c r="E20" i="2"/>
  <c r="M24" i="2"/>
  <c r="M27" i="2"/>
  <c r="B24" i="2"/>
  <c r="B27" i="2"/>
  <c r="F24" i="2"/>
  <c r="F27" i="2"/>
  <c r="Y18" i="2" l="1"/>
  <c r="Y20" i="2" s="1"/>
  <c r="Y21" i="2" s="1"/>
  <c r="Y22" i="2" s="1"/>
  <c r="Y24" i="2" s="1"/>
  <c r="X35" i="2"/>
  <c r="E22" i="2"/>
  <c r="E27" i="2" s="1"/>
  <c r="Z26" i="2"/>
  <c r="Z29" i="2"/>
  <c r="Z33" i="2"/>
  <c r="S24" i="2"/>
  <c r="S27" i="2"/>
  <c r="Z18" i="2" l="1"/>
  <c r="Z20" i="2" s="1"/>
  <c r="Z21" i="2" s="1"/>
  <c r="Z22" i="2" s="1"/>
  <c r="Z24" i="2" s="1"/>
  <c r="Y35" i="2"/>
  <c r="E24" i="2"/>
  <c r="T27" i="2"/>
  <c r="U27" i="2"/>
  <c r="V27" i="2"/>
  <c r="W27" i="2"/>
  <c r="X27" i="2"/>
  <c r="Y27" i="2"/>
  <c r="AA26" i="2"/>
  <c r="AA29" i="2"/>
  <c r="AA33" i="2"/>
  <c r="AD4" i="2" s="1"/>
  <c r="AD7" i="2" s="1"/>
  <c r="Z27" i="2" l="1"/>
  <c r="AA18" i="2"/>
  <c r="AA20" i="2" s="1"/>
  <c r="AA21" i="2" s="1"/>
  <c r="AA22" i="2" s="1"/>
  <c r="Z35" i="2"/>
  <c r="AA27" i="2" l="1"/>
  <c r="AA24" i="2"/>
  <c r="AB22" i="2"/>
  <c r="AC22" i="2" s="1"/>
  <c r="AD22" i="2" s="1"/>
  <c r="AE22" i="2" s="1"/>
  <c r="AF22" i="2" s="1"/>
  <c r="AG22" i="2" s="1"/>
  <c r="AH22" i="2" s="1"/>
  <c r="AI22" i="2" s="1"/>
  <c r="AJ22" i="2" s="1"/>
  <c r="AK22" i="2" s="1"/>
  <c r="AL22" i="2" s="1"/>
  <c r="AM22" i="2" s="1"/>
  <c r="AN22" i="2" s="1"/>
  <c r="AO22" i="2" s="1"/>
  <c r="AP22" i="2" s="1"/>
  <c r="AQ22" i="2" s="1"/>
  <c r="AR22" i="2" s="1"/>
  <c r="AS22" i="2" s="1"/>
  <c r="AT22" i="2" s="1"/>
  <c r="AU22" i="2" s="1"/>
  <c r="AV22" i="2" s="1"/>
  <c r="AW22" i="2" s="1"/>
  <c r="AX22" i="2" s="1"/>
  <c r="AY22" i="2" s="1"/>
  <c r="AZ22" i="2" s="1"/>
  <c r="BA22" i="2" s="1"/>
  <c r="BB22" i="2" s="1"/>
  <c r="BC22" i="2" s="1"/>
  <c r="BD22" i="2" s="1"/>
  <c r="BE22" i="2" s="1"/>
  <c r="BF22" i="2" s="1"/>
  <c r="BG22" i="2" s="1"/>
  <c r="BH22" i="2" s="1"/>
  <c r="BI22" i="2" s="1"/>
  <c r="BJ22" i="2" s="1"/>
  <c r="BK22" i="2" s="1"/>
  <c r="BL22" i="2" s="1"/>
  <c r="BM22" i="2" s="1"/>
  <c r="BN22" i="2" s="1"/>
  <c r="BO22" i="2" s="1"/>
  <c r="BP22" i="2" s="1"/>
  <c r="BQ22" i="2" s="1"/>
  <c r="BR22" i="2" s="1"/>
  <c r="BS22" i="2" s="1"/>
  <c r="AA35"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<sst xmlns="http://schemas.openxmlformats.org/spreadsheetml/2006/main" count="75" uniqueCount="71">
  <si>
    <t>ticket</t>
  </si>
  <si>
    <t>price</t>
  </si>
  <si>
    <t>shares</t>
  </si>
  <si>
    <t>mc</t>
  </si>
  <si>
    <t>cash</t>
  </si>
  <si>
    <t>debt</t>
  </si>
  <si>
    <t>ev</t>
  </si>
  <si>
    <t>Service Revenues</t>
  </si>
  <si>
    <t>Data processing revenues</t>
  </si>
  <si>
    <t>International transaction revenues</t>
  </si>
  <si>
    <t>other revenues</t>
  </si>
  <si>
    <t>client incentives</t>
  </si>
  <si>
    <t>Net Revenue</t>
  </si>
  <si>
    <t>Personnel</t>
  </si>
  <si>
    <t>Marketing</t>
  </si>
  <si>
    <t>Network and processing</t>
  </si>
  <si>
    <t>Professional fees</t>
  </si>
  <si>
    <t>D&amp;A</t>
  </si>
  <si>
    <t>G&amp;A</t>
  </si>
  <si>
    <t>ligitigation provision</t>
  </si>
  <si>
    <t>Opex</t>
  </si>
  <si>
    <t>Operating Income</t>
  </si>
  <si>
    <t>Interest expenses</t>
  </si>
  <si>
    <t>Investment Income</t>
  </si>
  <si>
    <t>EBT</t>
  </si>
  <si>
    <t>Taxes</t>
  </si>
  <si>
    <t>Net Income</t>
  </si>
  <si>
    <t>Shares</t>
  </si>
  <si>
    <t>EPS</t>
  </si>
  <si>
    <t>Net Margin %</t>
  </si>
  <si>
    <t>Operating Margin%</t>
  </si>
  <si>
    <t>balance sheet</t>
  </si>
  <si>
    <t>AR</t>
  </si>
  <si>
    <t>customer collateral</t>
  </si>
  <si>
    <t>Prepaid &amp; ONCA</t>
  </si>
  <si>
    <t>assets</t>
  </si>
  <si>
    <t>AP</t>
  </si>
  <si>
    <t>Customer collateral</t>
  </si>
  <si>
    <t>accrued compensation and beneficts</t>
  </si>
  <si>
    <t>accrued liabilities</t>
  </si>
  <si>
    <t>deferred tax</t>
  </si>
  <si>
    <t>ONCL</t>
  </si>
  <si>
    <t>PP&amp;E</t>
  </si>
  <si>
    <t>Goodwill+Intangibles</t>
  </si>
  <si>
    <t>Liabilities</t>
  </si>
  <si>
    <t>accrued litigation</t>
  </si>
  <si>
    <t>S/E</t>
  </si>
  <si>
    <t>L+S/E</t>
  </si>
  <si>
    <t>Revenue Y/Y</t>
  </si>
  <si>
    <t>CFFO</t>
  </si>
  <si>
    <t>CAPEX</t>
  </si>
  <si>
    <t>FCF</t>
  </si>
  <si>
    <t>Maturity Value</t>
  </si>
  <si>
    <t>Discount Rate</t>
  </si>
  <si>
    <t>npv</t>
  </si>
  <si>
    <t>total value</t>
  </si>
  <si>
    <t>per share</t>
  </si>
  <si>
    <t>net cash</t>
  </si>
  <si>
    <t>Q4 2023</t>
  </si>
  <si>
    <t>Q1 2024</t>
  </si>
  <si>
    <t>Q2 2024</t>
  </si>
  <si>
    <t>Q3 2024</t>
  </si>
  <si>
    <t>Q4 2024</t>
  </si>
  <si>
    <t>Q3 2023</t>
  </si>
  <si>
    <t>Q2 2023</t>
  </si>
  <si>
    <t>Q1 2023</t>
  </si>
  <si>
    <t>Q4 2022</t>
  </si>
  <si>
    <t>Q3 2022</t>
  </si>
  <si>
    <t>Q2 2022</t>
  </si>
  <si>
    <t>Q1 2022</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</si>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</sst>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409]* #,##0.00_);_([$$-409]* \(#,##0.00\);_([$$-409]* &quot;-&quot;??_);_(@_)"/>
    <numFmt numFmtId="165" formatCode="_-[$$-409]* #,##0.00_ ;_-[$$-409]* \-#,##0.00\ ;_-[$$-409]* &quot;-&quot;??_ ;_-@_ "/>
    <numFmt numFmtId="166" formatCode="[$$-409]#,##0.00"/>
  </numFmts>
  <fonts count="4" x14ac:knownFonts="1">
    <font>
      <sz val="12"/>
      <color theme="1"/>
      <name val="Calibri"/>
      <family val="2"/>
      <scheme val="minor"/>
    </font>
    <font>
      <sz val="12"/>
      <color theme="1"/>
      <name val="Calibri"/>
      <family val="2"/>
      <scheme val="minor"/>
    </font>
    <font>
      <sz val="10"/>
      <color theme="1"/>
      <name val="Arial"/>
      <family val="2"/>
    </font>
    <font>
      <b/>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3" fillId="0" borderId="0" xfId="0" applyFont="1"/>
    <xf numFmtId="10" fontId="2" fillId="0" borderId="0" xfId="0" applyNumberFormat="1" applyFont="1"/>
    <xf numFmtId="3" fontId="2" fillId="0" borderId="0" xfId="0" applyNumberFormat="1" applyFont="1"/>
    <xf numFmtId="10" fontId="2" fillId="0" borderId="0" xfId="1" applyNumberFormat="1" applyFont="1"/>
    <xf numFmtId="166" fontId="2" fillId="0" borderId="0" xfId="0" applyNumberFormat="1" applyFont="1"/>
    <xf numFmtId="3" fontId="3" fillId="0" borderId="0" xfId="0" applyNumberFormat="1" applyFont="1"/>
    <xf numFmtId="165" fontId="2" fillId="0" borderId="0" xfId="0" applyNumberFormat="1" applyFont="1"/>
    <xf numFmtId="9" fontId="2" fillId="0" borderId="0" xfId="1" applyFont="1"/>
    <xf numFmtId="164" fontId="2" fillId="0" borderId="0" xfId="0"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11</xdr:col>
      <xdr:colOff>0</xdr:colOff>
      <xdr:row>1</xdr:row>
      <xdr:rowOff>15240</xdr:rowOff>
    </xdr:from>
    <xdr:to>
      <xdr:col>11</xdr:col>
      <xdr:colOff>12700</xdr:colOff>
      <xdr:row>59</xdr:row>
      <xdr:rowOff>15240</xdr:rowOff>
    </xdr:to>
    <xdr:cxnSp macro="">
      <xdr:nvCxnSpPr>
        <xdr:cNvPr id="3" name="Straight Connector 2">
          <a:extLst>
            <a:ext uri="{FF2B5EF4-FFF2-40B4-BE49-F238E27FC236}">
              <a16:creationId xmlns:a16="http://schemas.microsoft.com/office/drawing/2014/main" id="{D98538CF-8D69-030C-7957-B85E7B37D4D5}"/>
            </a:ext>
          </a:extLst>
        </xdr:cNvPr>
        <xdr:cNvCxnSpPr/>
      </xdr:nvCxnSpPr>
      <xdr:spPr>
        <a:xfrm>
          <a:off x="7589520" y="198120"/>
          <a:ext cx="12700" cy="1024128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1</xdr:row>
      <xdr:rowOff>0</xdr:rowOff>
    </xdr:from>
    <xdr:to>
      <xdr:col>19</xdr:col>
      <xdr:colOff>12700</xdr:colOff>
      <xdr:row>58</xdr:row>
      <xdr:rowOff>50800</xdr:rowOff>
    </xdr:to>
    <xdr:cxnSp macro="">
      <xdr:nvCxnSpPr>
        <xdr:cNvPr id="5" name="Straight Connector 4">
          <a:extLst>
            <a:ext uri="{FF2B5EF4-FFF2-40B4-BE49-F238E27FC236}">
              <a16:creationId xmlns:a16="http://schemas.microsoft.com/office/drawing/2014/main" id="{9E828C0A-ACDA-46EE-C0D9-B86DD05B1993}"/>
            </a:ext>
          </a:extLst>
        </xdr:cNvPr>
        <xdr:cNvCxnSpPr/>
      </xdr:nvCxnSpPr>
      <xdr:spPr>
        <a:xfrm>
          <a:off x="16294100" y="177800"/>
          <a:ext cx="12700" cy="9829800"/>
        </a:xfrm>
        <a:prstGeom prst="line">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en-GB</v>
    <v>a256cw</v>
    <v>268435456</v>
    <v>1</v>
    <v>Powered by Refinitiv</v>
    <v>0</v>
    <v>VISA INC. (XNYS:V)</v>
    <v>2</v>
    <v>3</v>
    <v>Finance</v>
    <v>4</v>
    <v>279.99</v>
    <v>208.76</v>
    <v>0.96220000000000006</v>
    <v>0.62</v>
    <v>0</v>
    <v>2.248E-3</v>
    <v>0</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28800</v>
    <v>New York Stock Exchange</v>
    <v>XNYS</v>
    <v>XNYS</v>
    <v>P.O. Box 8999, SAN FRANCISCO, CA, 94128-8999 US</v>
    <v>277.18</v>
    <v>Software &amp; IT Services</v>
    <v>Stock</v>
    <v>45331.912021909375</v>
    <v>0</v>
    <v>274.08999999999997</v>
    <v>555338800000</v>
    <v>VISA INC.</v>
    <v>VISA INC.</v>
    <v>275</v>
    <v>31.771899999999999</v>
    <v>275.77999999999997</v>
    <v>276.39999999999998</v>
    <v>276.43</v>
    <v>2008967000</v>
    <v>V</v>
    <v>VISA INC. (XNYS:V)</v>
    <v>4618283</v>
    <v>5704767</v>
    <v>2007</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78B14D-7C5C-CA4C-A856-8D1067916D81}">
  <dimension ref="A2:B8"/>
  <sheetViews>
    <sheetView workbookViewId="0">
      <selection activeCell="C16" sqref="C16"/>
    </sheetView>
  </sheetViews>
  <sheetFormatPr defaultColWidth="10.875" defaultRowHeight="12.75" x14ac:dyDescent="0.2"/>
  <cols>
    <col min="1" max="1" width="10.875" style="1"/>
    <col min="2" max="2" width="12.375" style="1" bestFit="1" customWidth="1"/>
    <col min="3" max="16384" width="10.875" style="1"/>
  </cols>
  <sheetData>
    <row r="2" spans="1:2" x14ac:dyDescent="0.2">
      <c r="A2" s="1" t="s">
        <v>0</v>
      </c>
      <c r="B2" s="1" t="e" vm="1">
        <v>#VALUE!</v>
      </c>
    </row>
    <row r="3" spans="1:2" x14ac:dyDescent="0.2">
      <c r="A3" s="1" t="s">
        <v>1</v>
      </c>
      <c r="B3" s="10" cm="1">
        <f t="array" ref="B3">_FV(B2,"price")</f>
        <v>276.39999999999998</v>
      </c>
    </row>
    <row r="4" spans="1:2" x14ac:dyDescent="0.2">
      <c r="A4" s="1" t="s">
        <v>2</v>
      </c>
      <c r="B4" s="1">
        <f>1606.787+245.513+9.539</f>
        <v>1861.8389999999999</v>
      </c>
    </row>
    <row r="5" spans="1:2" x14ac:dyDescent="0.2">
      <c r="A5" s="1" t="s">
        <v>3</v>
      </c>
      <c r="B5" s="8">
        <f>B3*B4</f>
        <v>514612.29959999997</v>
      </c>
    </row>
    <row r="6" spans="1:2" x14ac:dyDescent="0.2">
      <c r="A6" s="1" t="s">
        <v>4</v>
      </c>
      <c r="B6" s="1">
        <f>15590+1627+3166+2122</f>
        <v>22505</v>
      </c>
    </row>
    <row r="7" spans="1:2" x14ac:dyDescent="0.2">
      <c r="A7" s="1" t="s">
        <v>5</v>
      </c>
      <c r="B7" s="1">
        <v>20560</v>
      </c>
    </row>
    <row r="8" spans="1:2" x14ac:dyDescent="0.2">
      <c r="A8" s="1" t="s">
        <v>6</v>
      </c>
      <c r="B8" s="8">
        <f>B5-B6+B7</f>
        <v>512667.29959999997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510EB2-5A05-944F-9B81-774AF7B5B4A6}">
  <dimension ref="A2:BS58"/>
  <sheetViews>
    <sheetView tabSelected="1" workbookViewId="0">
      <pane xSplit="1" ySplit="2" topLeftCell="H3" activePane="bottomRight" state="frozen"/>
      <selection pane="topRight" activeCell="B1" sqref="B1"/>
      <selection pane="bottomLeft" activeCell="A3" sqref="A3"/>
      <selection pane="bottomRight" activeCell="AC12" sqref="AC12"/>
    </sheetView>
  </sheetViews>
  <sheetFormatPr defaultColWidth="10.875" defaultRowHeight="12.75" x14ac:dyDescent="0.2"/>
  <cols>
    <col min="1" max="1" width="29.625" style="1" bestFit="1" customWidth="1"/>
    <col min="2" max="8" width="7.125" style="1" bestFit="1" customWidth="1"/>
    <col min="9" max="9" width="8.625" style="1" bestFit="1" customWidth="1"/>
    <col min="10" max="11" width="7.125" style="1" bestFit="1" customWidth="1"/>
    <col min="12" max="12" width="8.625" style="1" bestFit="1" customWidth="1"/>
    <col min="13" max="13" width="7.125" style="1" bestFit="1" customWidth="1"/>
    <col min="14" max="14" width="10.875" style="1"/>
    <col min="15" max="15" width="11" style="1" bestFit="1" customWidth="1"/>
    <col min="16" max="16" width="10.875" style="1"/>
    <col min="17" max="17" width="6.5" style="1" bestFit="1" customWidth="1"/>
    <col min="18" max="20" width="7" style="1" bestFit="1" customWidth="1"/>
    <col min="21" max="21" width="8.625" style="1" bestFit="1" customWidth="1"/>
    <col min="22" max="27" width="6.875" style="1" bestFit="1" customWidth="1"/>
    <col min="28" max="28" width="10.875" style="1"/>
    <col min="29" max="29" width="12.875" style="1" bestFit="1" customWidth="1"/>
    <col min="30" max="30" width="11.25" style="1" bestFit="1" customWidth="1"/>
    <col min="31" max="16384" width="10.875" style="1"/>
  </cols>
  <sheetData>
    <row r="2" spans="1:30" x14ac:dyDescent="0.2">
      <c r="B2" s="2" t="s">
        <v>69</v>
      </c>
      <c r="C2" s="2" t="s">
        <v>68</v>
      </c>
      <c r="D2" s="2" t="s">
        <v>67</v>
      </c>
      <c r="E2" s="2" t="s">
        <v>66</v>
      </c>
      <c r="F2" s="2" t="s">
        <v>65</v>
      </c>
      <c r="G2" s="2" t="s">
        <v>64</v>
      </c>
      <c r="H2" s="2" t="s">
        <v>63</v>
      </c>
      <c r="I2" s="2" t="s">
        <v>58</v>
      </c>
      <c r="J2" s="2" t="s">
        <v>59</v>
      </c>
      <c r="K2" s="2" t="s">
        <v>60</v>
      </c>
      <c r="L2" s="2" t="s">
        <v>61</v>
      </c>
      <c r="M2" s="2" t="s">
        <v>62</v>
      </c>
      <c r="N2" s="2"/>
      <c r="O2" s="2"/>
      <c r="P2" s="2"/>
      <c r="Q2" s="2">
        <v>2020</v>
      </c>
      <c r="R2" s="2">
        <v>2021</v>
      </c>
      <c r="S2" s="2">
        <v>2022</v>
      </c>
      <c r="T2" s="2">
        <f>S2+1</f>
        <v>2023</v>
      </c>
      <c r="U2" s="2">
        <f t="shared" ref="U2:X2" si="0">T2+1</f>
        <v>2024</v>
      </c>
      <c r="V2" s="2">
        <f t="shared" si="0"/>
        <v>2025</v>
      </c>
      <c r="W2" s="2">
        <f t="shared" si="0"/>
        <v>2026</v>
      </c>
      <c r="X2" s="2">
        <f t="shared" si="0"/>
        <v>2027</v>
      </c>
      <c r="Y2" s="2">
        <f>X2+1</f>
        <v>2028</v>
      </c>
      <c r="Z2" s="2">
        <f>Y2+1</f>
        <v>2029</v>
      </c>
      <c r="AA2" s="2">
        <f>Z2+1</f>
        <v>2030</v>
      </c>
      <c r="AC2" s="1" t="s">
        <v>52</v>
      </c>
      <c r="AD2" s="3">
        <v>2.5000000000000001E-2</v>
      </c>
    </row>
    <row r="3" spans="1:30" x14ac:dyDescent="0.2">
      <c r="A3" s="1" t="s">
        <v>7</v>
      </c>
      <c r="B3" s="4">
        <v>3193</v>
      </c>
      <c r="C3" s="4">
        <v>3521</v>
      </c>
      <c r="D3" s="4">
        <v>3189</v>
      </c>
      <c r="E3" s="4">
        <f>S3-SUM(B3:D3)</f>
        <v>3458</v>
      </c>
      <c r="F3" s="4">
        <v>3511</v>
      </c>
      <c r="G3" s="4">
        <v>3771</v>
      </c>
      <c r="H3" s="4">
        <v>3668</v>
      </c>
      <c r="I3" s="4"/>
      <c r="J3" s="4">
        <v>3915</v>
      </c>
      <c r="K3" s="4">
        <v>4033</v>
      </c>
      <c r="L3" s="4"/>
      <c r="M3" s="4"/>
      <c r="O3" s="5"/>
      <c r="Q3" s="4">
        <v>9804</v>
      </c>
      <c r="R3" s="4">
        <v>11475</v>
      </c>
      <c r="S3" s="4">
        <v>13361</v>
      </c>
      <c r="T3" s="4">
        <v>14826</v>
      </c>
      <c r="U3" s="4"/>
      <c r="V3" s="4"/>
      <c r="W3" s="4"/>
      <c r="X3" s="4"/>
      <c r="Y3" s="4"/>
      <c r="Z3" s="4"/>
      <c r="AA3" s="4"/>
      <c r="AC3" s="1" t="s">
        <v>53</v>
      </c>
      <c r="AD3" s="3">
        <v>0.08</v>
      </c>
    </row>
    <row r="4" spans="1:30" x14ac:dyDescent="0.2">
      <c r="A4" s="1" t="s">
        <v>8</v>
      </c>
      <c r="B4" s="4">
        <v>3614</v>
      </c>
      <c r="C4" s="4">
        <v>3480</v>
      </c>
      <c r="D4" s="4">
        <v>3579</v>
      </c>
      <c r="E4" s="4">
        <f t="shared" ref="E4:E22" si="1">S4-SUM(B4:D4)</f>
        <v>3765</v>
      </c>
      <c r="F4" s="4">
        <v>3827</v>
      </c>
      <c r="G4" s="4">
        <v>3819</v>
      </c>
      <c r="H4" s="4">
        <v>4105</v>
      </c>
      <c r="I4" s="4"/>
      <c r="J4" s="4">
        <v>4356</v>
      </c>
      <c r="K4" s="4">
        <v>4259</v>
      </c>
      <c r="L4" s="4"/>
      <c r="M4" s="4"/>
      <c r="O4" s="5"/>
      <c r="Q4" s="4">
        <v>10975</v>
      </c>
      <c r="R4" s="4">
        <v>12792</v>
      </c>
      <c r="S4" s="4">
        <v>14438</v>
      </c>
      <c r="T4" s="4">
        <v>16007</v>
      </c>
      <c r="U4" s="4"/>
      <c r="V4" s="4"/>
      <c r="W4" s="4"/>
      <c r="X4" s="4"/>
      <c r="Y4" s="4"/>
      <c r="Z4" s="4"/>
      <c r="AA4" s="4"/>
      <c r="AC4" s="1" t="s">
        <v>54</v>
      </c>
      <c r="AD4" s="6">
        <f>NPV(AD3,T33:AZ33)</f>
        <v>157467.79458016777</v>
      </c>
    </row>
    <row r="5" spans="1:30" x14ac:dyDescent="0.2">
      <c r="A5" s="1" t="s">
        <v>9</v>
      </c>
      <c r="B5" s="4">
        <v>2174</v>
      </c>
      <c r="C5" s="4">
        <v>2208</v>
      </c>
      <c r="D5" s="4">
        <v>2560</v>
      </c>
      <c r="E5" s="4">
        <f t="shared" si="1"/>
        <v>2873</v>
      </c>
      <c r="F5" s="4">
        <v>2797</v>
      </c>
      <c r="G5" s="4">
        <v>2749</v>
      </c>
      <c r="H5" s="4">
        <v>2920</v>
      </c>
      <c r="I5" s="4"/>
      <c r="J5" s="4">
        <v>3019</v>
      </c>
      <c r="K5" s="4">
        <v>2984</v>
      </c>
      <c r="L5" s="4"/>
      <c r="M5" s="4"/>
      <c r="O5" s="5"/>
      <c r="Q5" s="4">
        <v>6299</v>
      </c>
      <c r="R5" s="4">
        <v>6530</v>
      </c>
      <c r="S5" s="4">
        <v>9815</v>
      </c>
      <c r="T5" s="4">
        <v>11638</v>
      </c>
      <c r="U5" s="4"/>
      <c r="V5" s="4"/>
      <c r="W5" s="4"/>
      <c r="X5" s="4"/>
      <c r="Y5" s="4"/>
      <c r="Z5" s="4"/>
      <c r="AA5" s="4"/>
      <c r="AC5" s="1" t="s">
        <v>57</v>
      </c>
      <c r="AD5" s="6">
        <f>H38-H53</f>
        <v>1945</v>
      </c>
    </row>
    <row r="6" spans="1:30" x14ac:dyDescent="0.2">
      <c r="A6" s="1" t="s">
        <v>10</v>
      </c>
      <c r="B6" s="4">
        <v>449</v>
      </c>
      <c r="C6" s="4">
        <v>474</v>
      </c>
      <c r="D6" s="4">
        <v>517</v>
      </c>
      <c r="E6" s="4">
        <f t="shared" si="1"/>
        <v>551</v>
      </c>
      <c r="F6" s="4">
        <v>587</v>
      </c>
      <c r="G6" s="4">
        <v>551</v>
      </c>
      <c r="H6" s="4">
        <v>597</v>
      </c>
      <c r="I6" s="4"/>
      <c r="J6" s="4">
        <v>692</v>
      </c>
      <c r="K6" s="4">
        <v>756</v>
      </c>
      <c r="L6" s="4"/>
      <c r="M6" s="4"/>
      <c r="O6" s="5"/>
      <c r="Q6" s="4">
        <v>1432</v>
      </c>
      <c r="R6" s="4">
        <v>1675</v>
      </c>
      <c r="S6" s="4">
        <v>1991</v>
      </c>
      <c r="T6" s="4">
        <v>2479</v>
      </c>
      <c r="U6" s="4"/>
      <c r="V6" s="4"/>
      <c r="W6" s="4"/>
      <c r="X6" s="4"/>
      <c r="Y6" s="4"/>
      <c r="Z6" s="4"/>
      <c r="AA6" s="4"/>
      <c r="AC6" s="1" t="s">
        <v>55</v>
      </c>
      <c r="AD6" s="6">
        <f>+NPV(AD3,U22:BS22)</f>
        <v>529838.20392331888</v>
      </c>
    </row>
    <row r="7" spans="1:30" x14ac:dyDescent="0.2">
      <c r="A7" s="1" t="s">
        <v>11</v>
      </c>
      <c r="B7" s="4">
        <v>-2371</v>
      </c>
      <c r="C7" s="4">
        <v>-2494</v>
      </c>
      <c r="D7" s="4">
        <v>-2570</v>
      </c>
      <c r="E7" s="4">
        <f t="shared" si="1"/>
        <v>-2860</v>
      </c>
      <c r="F7" s="4">
        <v>-2786</v>
      </c>
      <c r="G7" s="4">
        <v>-2905</v>
      </c>
      <c r="H7" s="4">
        <v>-3167</v>
      </c>
      <c r="I7" s="4"/>
      <c r="J7" s="4">
        <v>-3348</v>
      </c>
      <c r="K7" s="4">
        <v>-3257</v>
      </c>
      <c r="L7" s="4"/>
      <c r="M7" s="4"/>
      <c r="O7" s="5"/>
      <c r="Q7" s="4">
        <v>-6664</v>
      </c>
      <c r="R7" s="4">
        <v>-8367</v>
      </c>
      <c r="S7" s="4">
        <v>-10295</v>
      </c>
      <c r="T7" s="4">
        <v>-12297</v>
      </c>
      <c r="U7" s="4"/>
      <c r="V7" s="4"/>
      <c r="W7" s="4"/>
      <c r="X7" s="4"/>
      <c r="Y7" s="4"/>
      <c r="Z7" s="4"/>
      <c r="AA7" s="4"/>
      <c r="AC7" s="1" t="s">
        <v>56</v>
      </c>
      <c r="AD7" s="6">
        <f>AD6/H23</f>
        <v>283.48753553949643</v>
      </c>
    </row>
    <row r="8" spans="1:30" x14ac:dyDescent="0.2">
      <c r="A8" s="2" t="s">
        <v>12</v>
      </c>
      <c r="B8" s="7">
        <f t="shared" ref="B8:G8" si="2">SUM(B3:B7)</f>
        <v>7059</v>
      </c>
      <c r="C8" s="7">
        <f t="shared" si="2"/>
        <v>7189</v>
      </c>
      <c r="D8" s="7">
        <f t="shared" si="2"/>
        <v>7275</v>
      </c>
      <c r="E8" s="7">
        <f t="shared" si="1"/>
        <v>7787</v>
      </c>
      <c r="F8" s="7">
        <f t="shared" si="2"/>
        <v>7936</v>
      </c>
      <c r="G8" s="7">
        <f t="shared" si="2"/>
        <v>7985</v>
      </c>
      <c r="H8" s="7">
        <f>SUM(H3:H7)</f>
        <v>8123</v>
      </c>
      <c r="I8" s="7">
        <f t="shared" ref="I8:M8" si="3">SUM(I3:I7)</f>
        <v>0</v>
      </c>
      <c r="J8" s="7">
        <f t="shared" si="3"/>
        <v>8634</v>
      </c>
      <c r="K8" s="7">
        <f t="shared" si="3"/>
        <v>8775</v>
      </c>
      <c r="L8" s="7">
        <f t="shared" si="3"/>
        <v>0</v>
      </c>
      <c r="M8" s="7">
        <f t="shared" si="3"/>
        <v>0</v>
      </c>
      <c r="N8" s="2"/>
      <c r="O8" s="5"/>
      <c r="Q8" s="7">
        <f t="shared" ref="Q8" si="4">SUM(Q3:Q7)</f>
        <v>21846</v>
      </c>
      <c r="R8" s="7">
        <f t="shared" ref="R8" si="5">SUM(R3:R7)</f>
        <v>24105</v>
      </c>
      <c r="S8" s="7">
        <f t="shared" ref="S8" si="6">SUM(S3:S7)</f>
        <v>29310</v>
      </c>
      <c r="T8" s="7">
        <f>+SUM(T3:T7)</f>
        <v>32653</v>
      </c>
      <c r="U8" s="7">
        <f>+T8*1.1</f>
        <v>35918.300000000003</v>
      </c>
      <c r="V8" s="7">
        <f t="shared" ref="V8:AA8" si="7">+U8*1.1</f>
        <v>39510.130000000005</v>
      </c>
      <c r="W8" s="7">
        <f t="shared" si="7"/>
        <v>43461.143000000011</v>
      </c>
      <c r="X8" s="7">
        <f t="shared" si="7"/>
        <v>47807.257300000019</v>
      </c>
      <c r="Y8" s="7">
        <f t="shared" si="7"/>
        <v>52587.983030000025</v>
      </c>
      <c r="Z8" s="7">
        <f t="shared" si="7"/>
        <v>57846.781333000035</v>
      </c>
      <c r="AA8" s="7">
        <f t="shared" si="7"/>
        <v>63631.459466300046</v>
      </c>
    </row>
    <row r="9" spans="1:30" x14ac:dyDescent="0.2">
      <c r="A9" s="1" t="s">
        <v>13</v>
      </c>
      <c r="B9" s="4">
        <v>1125</v>
      </c>
      <c r="C9" s="4">
        <v>1226</v>
      </c>
      <c r="D9" s="4">
        <v>1283</v>
      </c>
      <c r="E9" s="4">
        <f t="shared" si="1"/>
        <v>1356</v>
      </c>
      <c r="F9" s="4">
        <v>1337</v>
      </c>
      <c r="G9" s="4">
        <v>1515</v>
      </c>
      <c r="H9" s="4">
        <v>1481</v>
      </c>
      <c r="I9" s="4"/>
      <c r="J9" s="4">
        <v>1479</v>
      </c>
      <c r="K9" s="4">
        <v>1603</v>
      </c>
      <c r="L9" s="4"/>
      <c r="M9" s="4"/>
      <c r="O9" s="5"/>
      <c r="Q9" s="4">
        <v>3785</v>
      </c>
      <c r="R9" s="4">
        <v>4240</v>
      </c>
      <c r="S9" s="4">
        <v>4990</v>
      </c>
      <c r="T9" s="4">
        <f>+S9*1.05</f>
        <v>5239.5</v>
      </c>
      <c r="U9" s="4">
        <f t="shared" ref="U9:AA9" si="8">+T9*1.05</f>
        <v>5501.4750000000004</v>
      </c>
      <c r="V9" s="4">
        <f t="shared" si="8"/>
        <v>5776.5487500000008</v>
      </c>
      <c r="W9" s="4">
        <f t="shared" si="8"/>
        <v>6065.3761875000009</v>
      </c>
      <c r="X9" s="4">
        <f t="shared" si="8"/>
        <v>6368.6449968750012</v>
      </c>
      <c r="Y9" s="4">
        <f t="shared" si="8"/>
        <v>6687.0772467187517</v>
      </c>
      <c r="Z9" s="4">
        <f t="shared" si="8"/>
        <v>7021.4311090546898</v>
      </c>
      <c r="AA9" s="4">
        <f t="shared" si="8"/>
        <v>7372.5026645074249</v>
      </c>
    </row>
    <row r="10" spans="1:30" x14ac:dyDescent="0.2">
      <c r="A10" s="1" t="s">
        <v>14</v>
      </c>
      <c r="B10" s="4">
        <v>280</v>
      </c>
      <c r="C10" s="4">
        <v>314</v>
      </c>
      <c r="D10" s="4">
        <v>313</v>
      </c>
      <c r="E10" s="4">
        <f t="shared" si="1"/>
        <v>429</v>
      </c>
      <c r="F10" s="4">
        <v>332</v>
      </c>
      <c r="G10" s="4">
        <v>309</v>
      </c>
      <c r="H10" s="4">
        <v>297</v>
      </c>
      <c r="I10" s="4"/>
      <c r="J10" s="4">
        <v>293</v>
      </c>
      <c r="K10" s="4">
        <v>338</v>
      </c>
      <c r="L10" s="4"/>
      <c r="M10" s="4"/>
      <c r="O10" s="5"/>
      <c r="Q10" s="4">
        <v>971</v>
      </c>
      <c r="R10" s="4">
        <v>1136</v>
      </c>
      <c r="S10" s="4">
        <v>1336</v>
      </c>
      <c r="T10" s="4">
        <v>1341</v>
      </c>
      <c r="U10" s="4">
        <f t="shared" ref="U9:AA15" si="9">+T10*1.1</f>
        <v>1475.1000000000001</v>
      </c>
      <c r="V10" s="4">
        <f t="shared" si="9"/>
        <v>1622.6100000000004</v>
      </c>
      <c r="W10" s="4">
        <f t="shared" si="9"/>
        <v>1784.8710000000005</v>
      </c>
      <c r="X10" s="4">
        <f t="shared" si="9"/>
        <v>1963.3581000000008</v>
      </c>
      <c r="Y10" s="4">
        <f t="shared" si="9"/>
        <v>2159.6939100000009</v>
      </c>
      <c r="Z10" s="4">
        <f t="shared" si="9"/>
        <v>2375.663301000001</v>
      </c>
      <c r="AA10" s="4">
        <f t="shared" si="9"/>
        <v>2613.2296311000014</v>
      </c>
    </row>
    <row r="11" spans="1:30" x14ac:dyDescent="0.2">
      <c r="A11" s="1" t="s">
        <v>15</v>
      </c>
      <c r="B11" s="4">
        <v>190</v>
      </c>
      <c r="C11" s="4">
        <v>190</v>
      </c>
      <c r="D11" s="4">
        <v>178</v>
      </c>
      <c r="E11" s="4">
        <f t="shared" si="1"/>
        <v>185</v>
      </c>
      <c r="F11" s="4">
        <v>178</v>
      </c>
      <c r="G11" s="4">
        <v>179</v>
      </c>
      <c r="H11" s="4">
        <v>182</v>
      </c>
      <c r="I11" s="4"/>
      <c r="J11" s="4">
        <v>181</v>
      </c>
      <c r="K11" s="4">
        <v>189</v>
      </c>
      <c r="L11" s="4"/>
      <c r="M11" s="4"/>
      <c r="O11" s="5"/>
      <c r="Q11" s="4">
        <v>727</v>
      </c>
      <c r="R11" s="4">
        <v>730</v>
      </c>
      <c r="S11" s="4">
        <v>743</v>
      </c>
      <c r="T11" s="4">
        <v>736</v>
      </c>
      <c r="U11" s="4">
        <f t="shared" si="9"/>
        <v>809.6</v>
      </c>
      <c r="V11" s="4">
        <f t="shared" si="9"/>
        <v>890.56000000000006</v>
      </c>
      <c r="W11" s="4">
        <f t="shared" si="9"/>
        <v>979.6160000000001</v>
      </c>
      <c r="X11" s="4">
        <f t="shared" si="9"/>
        <v>1077.5776000000003</v>
      </c>
      <c r="Y11" s="4">
        <f t="shared" si="9"/>
        <v>1185.3353600000005</v>
      </c>
      <c r="Z11" s="4">
        <f t="shared" si="9"/>
        <v>1303.8688960000006</v>
      </c>
      <c r="AA11" s="4">
        <f t="shared" si="9"/>
        <v>1434.2557856000008</v>
      </c>
    </row>
    <row r="12" spans="1:30" x14ac:dyDescent="0.2">
      <c r="A12" s="1" t="s">
        <v>16</v>
      </c>
      <c r="B12" s="4">
        <v>100</v>
      </c>
      <c r="C12" s="4">
        <v>125</v>
      </c>
      <c r="D12" s="4">
        <v>117</v>
      </c>
      <c r="E12" s="4">
        <f t="shared" si="1"/>
        <v>163</v>
      </c>
      <c r="F12" s="4">
        <v>109</v>
      </c>
      <c r="G12" s="4">
        <v>130</v>
      </c>
      <c r="H12" s="4">
        <v>133</v>
      </c>
      <c r="I12" s="4"/>
      <c r="J12" s="4">
        <v>131</v>
      </c>
      <c r="K12" s="4">
        <v>160</v>
      </c>
      <c r="L12" s="4"/>
      <c r="M12" s="4"/>
      <c r="O12" s="5"/>
      <c r="Q12" s="4">
        <v>408</v>
      </c>
      <c r="R12" s="4">
        <v>403</v>
      </c>
      <c r="S12" s="4">
        <v>505</v>
      </c>
      <c r="T12" s="4">
        <v>545</v>
      </c>
      <c r="U12" s="4">
        <f t="shared" si="9"/>
        <v>599.5</v>
      </c>
      <c r="V12" s="4">
        <f t="shared" si="9"/>
        <v>659.45</v>
      </c>
      <c r="W12" s="4">
        <f t="shared" si="9"/>
        <v>725.3950000000001</v>
      </c>
      <c r="X12" s="4">
        <f t="shared" si="9"/>
        <v>797.93450000000018</v>
      </c>
      <c r="Y12" s="4">
        <f t="shared" si="9"/>
        <v>877.72795000000031</v>
      </c>
      <c r="Z12" s="4">
        <f t="shared" si="9"/>
        <v>965.50074500000039</v>
      </c>
      <c r="AA12" s="4">
        <f t="shared" si="9"/>
        <v>1062.0508195000004</v>
      </c>
    </row>
    <row r="13" spans="1:30" x14ac:dyDescent="0.2">
      <c r="A13" s="1" t="s">
        <v>17</v>
      </c>
      <c r="B13" s="4">
        <v>198</v>
      </c>
      <c r="C13" s="4">
        <v>207</v>
      </c>
      <c r="D13" s="4">
        <v>230</v>
      </c>
      <c r="E13" s="4">
        <f t="shared" si="1"/>
        <v>226</v>
      </c>
      <c r="F13" s="4">
        <v>227</v>
      </c>
      <c r="G13" s="4">
        <v>234</v>
      </c>
      <c r="H13" s="4">
        <v>235</v>
      </c>
      <c r="I13" s="4"/>
      <c r="J13" s="4">
        <v>247</v>
      </c>
      <c r="K13" s="4">
        <v>249</v>
      </c>
      <c r="L13" s="4"/>
      <c r="M13" s="4"/>
      <c r="O13" s="5"/>
      <c r="Q13" s="4">
        <v>767</v>
      </c>
      <c r="R13" s="4">
        <v>804</v>
      </c>
      <c r="S13" s="4">
        <v>861</v>
      </c>
      <c r="T13" s="4">
        <v>943</v>
      </c>
      <c r="U13" s="4">
        <f t="shared" si="9"/>
        <v>1037.3000000000002</v>
      </c>
      <c r="V13" s="4">
        <f t="shared" si="9"/>
        <v>1141.0300000000002</v>
      </c>
      <c r="W13" s="4">
        <f t="shared" si="9"/>
        <v>1255.1330000000003</v>
      </c>
      <c r="X13" s="4">
        <f t="shared" si="9"/>
        <v>1380.6463000000003</v>
      </c>
      <c r="Y13" s="4">
        <f t="shared" si="9"/>
        <v>1518.7109300000004</v>
      </c>
      <c r="Z13" s="4">
        <f t="shared" si="9"/>
        <v>1670.5820230000006</v>
      </c>
      <c r="AA13" s="4">
        <f t="shared" si="9"/>
        <v>1837.6402253000008</v>
      </c>
    </row>
    <row r="14" spans="1:30" x14ac:dyDescent="0.2">
      <c r="A14" s="1" t="s">
        <v>18</v>
      </c>
      <c r="B14" s="4">
        <v>242</v>
      </c>
      <c r="C14" s="4">
        <v>325</v>
      </c>
      <c r="D14" s="4">
        <v>289</v>
      </c>
      <c r="E14" s="4">
        <f t="shared" si="1"/>
        <v>338</v>
      </c>
      <c r="F14" s="4">
        <v>322</v>
      </c>
      <c r="G14" s="4">
        <v>282</v>
      </c>
      <c r="H14" s="4">
        <v>314</v>
      </c>
      <c r="I14" s="4"/>
      <c r="J14" s="4">
        <v>340</v>
      </c>
      <c r="K14" s="4">
        <v>452</v>
      </c>
      <c r="L14" s="4"/>
      <c r="M14" s="4"/>
      <c r="O14" s="5"/>
      <c r="Q14" s="4">
        <v>1096</v>
      </c>
      <c r="R14" s="4">
        <v>985</v>
      </c>
      <c r="S14" s="4">
        <v>1194</v>
      </c>
      <c r="T14" s="4">
        <f>+S14*1.05</f>
        <v>1253.7</v>
      </c>
      <c r="U14" s="4">
        <f t="shared" ref="U14:AA14" si="10">+T14*1.05</f>
        <v>1316.385</v>
      </c>
      <c r="V14" s="4">
        <f t="shared" si="10"/>
        <v>1382.20425</v>
      </c>
      <c r="W14" s="4">
        <f t="shared" si="10"/>
        <v>1451.3144625</v>
      </c>
      <c r="X14" s="4">
        <f t="shared" si="10"/>
        <v>1523.880185625</v>
      </c>
      <c r="Y14" s="4">
        <f t="shared" si="10"/>
        <v>1600.0741949062501</v>
      </c>
      <c r="Z14" s="4">
        <f t="shared" si="10"/>
        <v>1680.0779046515627</v>
      </c>
      <c r="AA14" s="4">
        <f t="shared" si="10"/>
        <v>1764.081799884141</v>
      </c>
    </row>
    <row r="15" spans="1:30" x14ac:dyDescent="0.2">
      <c r="A15" s="1" t="s">
        <v>19</v>
      </c>
      <c r="B15" s="4">
        <v>148</v>
      </c>
      <c r="C15" s="4">
        <v>0</v>
      </c>
      <c r="D15" s="4">
        <v>717</v>
      </c>
      <c r="E15" s="4">
        <f t="shared" si="1"/>
        <v>3</v>
      </c>
      <c r="F15" s="4">
        <v>341</v>
      </c>
      <c r="G15" s="4">
        <v>0</v>
      </c>
      <c r="H15" s="4">
        <v>457</v>
      </c>
      <c r="I15" s="4"/>
      <c r="J15" s="4">
        <v>9</v>
      </c>
      <c r="K15" s="4">
        <v>430</v>
      </c>
      <c r="L15" s="4"/>
      <c r="M15" s="4"/>
      <c r="O15" s="5"/>
      <c r="Q15" s="4">
        <v>11</v>
      </c>
      <c r="R15" s="4">
        <v>3</v>
      </c>
      <c r="S15" s="4">
        <v>868</v>
      </c>
      <c r="T15" s="4">
        <v>927</v>
      </c>
      <c r="U15" s="4">
        <f t="shared" si="9"/>
        <v>1019.7</v>
      </c>
      <c r="V15" s="4">
        <f t="shared" si="9"/>
        <v>1121.67</v>
      </c>
      <c r="W15" s="4">
        <f t="shared" si="9"/>
        <v>1233.8370000000002</v>
      </c>
      <c r="X15" s="4">
        <f t="shared" si="9"/>
        <v>1357.2207000000003</v>
      </c>
      <c r="Y15" s="4">
        <f t="shared" si="9"/>
        <v>1492.9427700000006</v>
      </c>
      <c r="Z15" s="4">
        <f t="shared" si="9"/>
        <v>1642.2370470000008</v>
      </c>
      <c r="AA15" s="4">
        <f t="shared" si="9"/>
        <v>1806.4607517000011</v>
      </c>
    </row>
    <row r="16" spans="1:30" x14ac:dyDescent="0.2">
      <c r="A16" s="2" t="s">
        <v>20</v>
      </c>
      <c r="B16" s="7">
        <f t="shared" ref="B16:G16" si="11">SUM(B9:B15)</f>
        <v>2283</v>
      </c>
      <c r="C16" s="7">
        <f t="shared" si="11"/>
        <v>2387</v>
      </c>
      <c r="D16" s="7">
        <f t="shared" si="11"/>
        <v>3127</v>
      </c>
      <c r="E16" s="7">
        <f t="shared" si="1"/>
        <v>2700</v>
      </c>
      <c r="F16" s="7">
        <f t="shared" si="11"/>
        <v>2846</v>
      </c>
      <c r="G16" s="7">
        <f t="shared" si="11"/>
        <v>2649</v>
      </c>
      <c r="H16" s="7">
        <f>SUM(H9:H15)</f>
        <v>3099</v>
      </c>
      <c r="I16" s="7">
        <f t="shared" ref="I16" si="12">SUM(I9:I15)</f>
        <v>0</v>
      </c>
      <c r="J16" s="7">
        <f t="shared" ref="J16" si="13">SUM(J9:J15)</f>
        <v>2680</v>
      </c>
      <c r="K16" s="7">
        <f t="shared" ref="K16" si="14">SUM(K9:K15)</f>
        <v>3421</v>
      </c>
      <c r="L16" s="7">
        <f t="shared" ref="L16" si="15">SUM(L9:L15)</f>
        <v>0</v>
      </c>
      <c r="M16" s="7">
        <f t="shared" ref="M16" si="16">SUM(M9:M15)</f>
        <v>0</v>
      </c>
      <c r="N16" s="2"/>
      <c r="O16" s="5"/>
      <c r="P16" s="2"/>
      <c r="Q16" s="7">
        <f t="shared" ref="Q16" si="17">SUM(Q9:Q15)</f>
        <v>7765</v>
      </c>
      <c r="R16" s="7">
        <f t="shared" ref="R16" si="18">SUM(R9:R15)</f>
        <v>8301</v>
      </c>
      <c r="S16" s="7">
        <f t="shared" ref="S16" si="19">SUM(S9:S15)</f>
        <v>10497</v>
      </c>
      <c r="T16" s="7">
        <f>+SUM(T9:T15)</f>
        <v>10985.2</v>
      </c>
      <c r="U16" s="7">
        <f t="shared" ref="U16:AA16" si="20">+SUM(U9:U15)</f>
        <v>11759.060000000003</v>
      </c>
      <c r="V16" s="7">
        <f t="shared" si="20"/>
        <v>12594.073000000004</v>
      </c>
      <c r="W16" s="7">
        <f t="shared" si="20"/>
        <v>13495.542650000001</v>
      </c>
      <c r="X16" s="7">
        <f t="shared" si="20"/>
        <v>14469.262382500001</v>
      </c>
      <c r="Y16" s="7">
        <f t="shared" si="20"/>
        <v>15521.562361625005</v>
      </c>
      <c r="Z16" s="7">
        <f t="shared" si="20"/>
        <v>16659.361025706257</v>
      </c>
      <c r="AA16" s="7">
        <f t="shared" si="20"/>
        <v>17890.221677591569</v>
      </c>
    </row>
    <row r="17" spans="1:71" x14ac:dyDescent="0.2">
      <c r="A17" s="2" t="s">
        <v>21</v>
      </c>
      <c r="B17" s="7">
        <f t="shared" ref="B17:G17" si="21">B8-B16</f>
        <v>4776</v>
      </c>
      <c r="C17" s="7">
        <f t="shared" si="21"/>
        <v>4802</v>
      </c>
      <c r="D17" s="7">
        <f t="shared" si="21"/>
        <v>4148</v>
      </c>
      <c r="E17" s="7">
        <f t="shared" si="1"/>
        <v>5087</v>
      </c>
      <c r="F17" s="7">
        <f t="shared" si="21"/>
        <v>5090</v>
      </c>
      <c r="G17" s="7">
        <f t="shared" si="21"/>
        <v>5336</v>
      </c>
      <c r="H17" s="7">
        <f>H8-H16</f>
        <v>5024</v>
      </c>
      <c r="I17" s="7">
        <f t="shared" ref="I17:M17" si="22">I8-I16</f>
        <v>0</v>
      </c>
      <c r="J17" s="7">
        <f t="shared" si="22"/>
        <v>5954</v>
      </c>
      <c r="K17" s="7">
        <f t="shared" si="22"/>
        <v>5354</v>
      </c>
      <c r="L17" s="7">
        <f t="shared" si="22"/>
        <v>0</v>
      </c>
      <c r="M17" s="7">
        <f t="shared" si="22"/>
        <v>0</v>
      </c>
      <c r="N17" s="2"/>
      <c r="O17" s="5"/>
      <c r="P17" s="2"/>
      <c r="Q17" s="7">
        <f t="shared" ref="Q17" si="23">Q8-Q16</f>
        <v>14081</v>
      </c>
      <c r="R17" s="7">
        <f t="shared" ref="R17" si="24">R8-R16</f>
        <v>15804</v>
      </c>
      <c r="S17" s="7">
        <f t="shared" ref="S17" si="25">S8-S16</f>
        <v>18813</v>
      </c>
      <c r="T17" s="7">
        <f>+T8-T16</f>
        <v>21667.8</v>
      </c>
      <c r="U17" s="7">
        <f t="shared" ref="U17:AA17" si="26">+U8-U16</f>
        <v>24159.239999999998</v>
      </c>
      <c r="V17" s="7">
        <f t="shared" si="26"/>
        <v>26916.057000000001</v>
      </c>
      <c r="W17" s="7">
        <f t="shared" si="26"/>
        <v>29965.600350000008</v>
      </c>
      <c r="X17" s="7">
        <f t="shared" si="26"/>
        <v>33337.994917500022</v>
      </c>
      <c r="Y17" s="7">
        <f t="shared" si="26"/>
        <v>37066.420668375024</v>
      </c>
      <c r="Z17" s="7">
        <f t="shared" si="26"/>
        <v>41187.420307293782</v>
      </c>
      <c r="AA17" s="7">
        <f t="shared" si="26"/>
        <v>45741.237788708473</v>
      </c>
    </row>
    <row r="18" spans="1:71" x14ac:dyDescent="0.2">
      <c r="A18" s="1" t="s">
        <v>22</v>
      </c>
      <c r="B18" s="4">
        <v>-134</v>
      </c>
      <c r="C18" s="4">
        <v>-134</v>
      </c>
      <c r="D18" s="4">
        <v>-111</v>
      </c>
      <c r="E18" s="4">
        <f t="shared" si="1"/>
        <v>-159</v>
      </c>
      <c r="F18" s="4">
        <v>-137</v>
      </c>
      <c r="G18" s="4">
        <v>-142</v>
      </c>
      <c r="H18" s="4">
        <v>-182</v>
      </c>
      <c r="I18" s="4"/>
      <c r="J18" s="4">
        <v>-187</v>
      </c>
      <c r="K18" s="4">
        <v>-82</v>
      </c>
      <c r="L18" s="4"/>
      <c r="M18" s="4"/>
      <c r="O18" s="5"/>
      <c r="Q18" s="4">
        <v>-516</v>
      </c>
      <c r="R18" s="4">
        <v>-513</v>
      </c>
      <c r="S18" s="4">
        <v>-538</v>
      </c>
      <c r="T18" s="4">
        <v>-644</v>
      </c>
      <c r="U18" s="4">
        <f>+S35*0.03</f>
        <v>53.28</v>
      </c>
      <c r="V18" s="4">
        <f t="shared" ref="V18:AA18" si="27">+T35*0.03</f>
        <v>591.50399999999991</v>
      </c>
      <c r="W18" s="4">
        <f t="shared" si="27"/>
        <v>1165.3407239999999</v>
      </c>
      <c r="X18" s="4">
        <f t="shared" si="27"/>
        <v>1817.2699196999999</v>
      </c>
      <c r="Y18" s="4">
        <f t="shared" si="27"/>
        <v>2555.0732231538</v>
      </c>
      <c r="Z18" s="4">
        <f t="shared" si="27"/>
        <v>3388.2529997954402</v>
      </c>
      <c r="AA18" s="4">
        <f t="shared" si="27"/>
        <v>4327.2824050246736</v>
      </c>
    </row>
    <row r="19" spans="1:71" x14ac:dyDescent="0.2">
      <c r="A19" s="1" t="s">
        <v>23</v>
      </c>
      <c r="B19" s="4">
        <v>255</v>
      </c>
      <c r="C19" s="4">
        <v>-126</v>
      </c>
      <c r="D19" s="4">
        <v>-208</v>
      </c>
      <c r="E19" s="4">
        <f t="shared" si="1"/>
        <v>-60</v>
      </c>
      <c r="F19" s="4">
        <v>24</v>
      </c>
      <c r="G19" s="4">
        <v>84</v>
      </c>
      <c r="H19" s="4">
        <v>304</v>
      </c>
      <c r="I19" s="4"/>
      <c r="J19" s="4">
        <v>275</v>
      </c>
      <c r="K19" s="4">
        <v>241</v>
      </c>
      <c r="L19" s="4"/>
      <c r="M19" s="4"/>
      <c r="O19" s="5"/>
      <c r="Q19" s="4">
        <v>225</v>
      </c>
      <c r="R19" s="4">
        <v>772</v>
      </c>
      <c r="S19" s="4">
        <v>-139</v>
      </c>
      <c r="T19" s="4">
        <v>681</v>
      </c>
      <c r="U19" s="4"/>
      <c r="V19" s="4"/>
      <c r="W19" s="4"/>
      <c r="X19" s="4"/>
      <c r="Y19" s="4"/>
      <c r="Z19" s="4"/>
      <c r="AA19" s="4"/>
    </row>
    <row r="20" spans="1:71" x14ac:dyDescent="0.2">
      <c r="A20" s="1" t="s">
        <v>24</v>
      </c>
      <c r="B20" s="4">
        <f t="shared" ref="B20:G20" si="28">B17+B18+B19</f>
        <v>4897</v>
      </c>
      <c r="C20" s="4">
        <f t="shared" si="28"/>
        <v>4542</v>
      </c>
      <c r="D20" s="4">
        <f t="shared" si="28"/>
        <v>3829</v>
      </c>
      <c r="E20" s="4">
        <f t="shared" si="1"/>
        <v>4868</v>
      </c>
      <c r="F20" s="4">
        <f t="shared" si="28"/>
        <v>4977</v>
      </c>
      <c r="G20" s="4">
        <f t="shared" si="28"/>
        <v>5278</v>
      </c>
      <c r="H20" s="4">
        <f>H17+H18+H19</f>
        <v>5146</v>
      </c>
      <c r="I20" s="4">
        <f t="shared" ref="I20:M20" si="29">I17+I18+I19</f>
        <v>0</v>
      </c>
      <c r="J20" s="4">
        <f t="shared" si="29"/>
        <v>6042</v>
      </c>
      <c r="K20" s="4">
        <f t="shared" si="29"/>
        <v>5513</v>
      </c>
      <c r="L20" s="4">
        <f t="shared" si="29"/>
        <v>0</v>
      </c>
      <c r="M20" s="4">
        <f t="shared" si="29"/>
        <v>0</v>
      </c>
      <c r="O20" s="5"/>
      <c r="Q20" s="4">
        <f t="shared" ref="Q20" si="30">Q17+Q18+Q19</f>
        <v>13790</v>
      </c>
      <c r="R20" s="4">
        <f t="shared" ref="R20" si="31">R17+R18+R19</f>
        <v>16063</v>
      </c>
      <c r="S20" s="4">
        <f t="shared" ref="S20" si="32">S17+S18+S19</f>
        <v>18136</v>
      </c>
      <c r="T20" s="4">
        <f>+T17+T18+T19</f>
        <v>21704.799999999999</v>
      </c>
      <c r="U20" s="4">
        <f t="shared" ref="U20:AA20" si="33">+U17+U18+U19</f>
        <v>24212.519999999997</v>
      </c>
      <c r="V20" s="4">
        <f t="shared" si="33"/>
        <v>27507.561000000002</v>
      </c>
      <c r="W20" s="4">
        <f t="shared" si="33"/>
        <v>31130.941074000009</v>
      </c>
      <c r="X20" s="4">
        <f t="shared" si="33"/>
        <v>35155.264837200019</v>
      </c>
      <c r="Y20" s="4">
        <f t="shared" si="33"/>
        <v>39621.493891528822</v>
      </c>
      <c r="Z20" s="4">
        <f t="shared" si="33"/>
        <v>44575.673307089222</v>
      </c>
      <c r="AA20" s="4">
        <f t="shared" si="33"/>
        <v>50068.520193733144</v>
      </c>
    </row>
    <row r="21" spans="1:71" x14ac:dyDescent="0.2">
      <c r="A21" s="1" t="s">
        <v>25</v>
      </c>
      <c r="B21" s="4">
        <v>-938</v>
      </c>
      <c r="C21" s="4">
        <v>-895</v>
      </c>
      <c r="D21" s="4">
        <v>-418</v>
      </c>
      <c r="E21" s="4">
        <f t="shared" si="1"/>
        <v>-928</v>
      </c>
      <c r="F21" s="4">
        <v>-798</v>
      </c>
      <c r="G21" s="4">
        <v>-1021</v>
      </c>
      <c r="H21" s="4">
        <v>-990</v>
      </c>
      <c r="I21" s="4"/>
      <c r="J21" s="4">
        <v>1152</v>
      </c>
      <c r="K21" s="4">
        <v>850</v>
      </c>
      <c r="L21" s="4"/>
      <c r="M21" s="4"/>
      <c r="O21" s="5"/>
      <c r="Q21" s="4">
        <v>-2924</v>
      </c>
      <c r="R21" s="4">
        <v>-3752</v>
      </c>
      <c r="S21" s="4">
        <v>-3179</v>
      </c>
      <c r="T21" s="4">
        <v>3764</v>
      </c>
      <c r="U21" s="4">
        <f>+U20*0.21</f>
        <v>5084.6291999999994</v>
      </c>
      <c r="V21" s="4">
        <f t="shared" ref="V21:AA21" si="34">+V20*0.21</f>
        <v>5776.58781</v>
      </c>
      <c r="W21" s="4">
        <f t="shared" si="34"/>
        <v>6537.4976255400015</v>
      </c>
      <c r="X21" s="4">
        <f t="shared" si="34"/>
        <v>7382.6056158120036</v>
      </c>
      <c r="Y21" s="4">
        <f t="shared" si="34"/>
        <v>8320.5137172210525</v>
      </c>
      <c r="Z21" s="4">
        <f t="shared" si="34"/>
        <v>9360.8913944887372</v>
      </c>
      <c r="AA21" s="4">
        <f t="shared" si="34"/>
        <v>10514.38924068396</v>
      </c>
    </row>
    <row r="22" spans="1:71" x14ac:dyDescent="0.2">
      <c r="A22" s="2" t="s">
        <v>26</v>
      </c>
      <c r="B22" s="7">
        <f t="shared" ref="B22:G22" si="35">B20+B21</f>
        <v>3959</v>
      </c>
      <c r="C22" s="7">
        <f t="shared" si="35"/>
        <v>3647</v>
      </c>
      <c r="D22" s="7">
        <f t="shared" si="35"/>
        <v>3411</v>
      </c>
      <c r="E22" s="7">
        <f t="shared" si="1"/>
        <v>3940</v>
      </c>
      <c r="F22" s="7">
        <f t="shared" si="35"/>
        <v>4179</v>
      </c>
      <c r="G22" s="7">
        <f t="shared" si="35"/>
        <v>4257</v>
      </c>
      <c r="H22" s="7">
        <f>H20+H21</f>
        <v>4156</v>
      </c>
      <c r="I22" s="7">
        <f t="shared" ref="I22:M22" si="36">I20+I21</f>
        <v>0</v>
      </c>
      <c r="J22" s="7">
        <f t="shared" si="36"/>
        <v>7194</v>
      </c>
      <c r="K22" s="7">
        <f t="shared" si="36"/>
        <v>6363</v>
      </c>
      <c r="L22" s="7">
        <f t="shared" si="36"/>
        <v>0</v>
      </c>
      <c r="M22" s="7">
        <f t="shared" si="36"/>
        <v>0</v>
      </c>
      <c r="N22" s="2"/>
      <c r="O22" s="5"/>
      <c r="P22" s="2"/>
      <c r="Q22" s="7">
        <f t="shared" ref="Q22" si="37">Q20+Q21</f>
        <v>10866</v>
      </c>
      <c r="R22" s="7">
        <f t="shared" ref="R22" si="38">R20+R21</f>
        <v>12311</v>
      </c>
      <c r="S22" s="7">
        <f>S20+S21</f>
        <v>14957</v>
      </c>
      <c r="T22" s="7">
        <f>+T20-T21</f>
        <v>17940.8</v>
      </c>
      <c r="U22" s="7">
        <f t="shared" ref="U22:AA22" si="39">+U20-U21</f>
        <v>19127.890799999997</v>
      </c>
      <c r="V22" s="7">
        <f t="shared" si="39"/>
        <v>21730.973190000001</v>
      </c>
      <c r="W22" s="7">
        <f t="shared" si="39"/>
        <v>24593.443448460006</v>
      </c>
      <c r="X22" s="7">
        <f t="shared" si="39"/>
        <v>27772.659221388014</v>
      </c>
      <c r="Y22" s="7">
        <f t="shared" si="39"/>
        <v>31300.98017430777</v>
      </c>
      <c r="Z22" s="7">
        <f t="shared" si="39"/>
        <v>35214.781912600483</v>
      </c>
      <c r="AA22" s="7">
        <f t="shared" si="39"/>
        <v>39554.130953049185</v>
      </c>
      <c r="AB22" s="4">
        <f>+AA22*(1+$AD$2)</f>
        <v>40542.984226875415</v>
      </c>
      <c r="AC22" s="4">
        <f t="shared" ref="AC22:BS22" si="40">+AB22*(1+$AD$2)</f>
        <v>41556.5588325473</v>
      </c>
      <c r="AD22" s="4">
        <f t="shared" si="40"/>
        <v>42595.472803360979</v>
      </c>
      <c r="AE22" s="4">
        <f t="shared" si="40"/>
        <v>43660.359623445001</v>
      </c>
      <c r="AF22" s="4">
        <f t="shared" si="40"/>
        <v>44751.868614031126</v>
      </c>
      <c r="AG22" s="4">
        <f t="shared" si="40"/>
        <v>45870.665329381896</v>
      </c>
      <c r="AH22" s="4">
        <f t="shared" si="40"/>
        <v>47017.431962616436</v>
      </c>
      <c r="AI22" s="4">
        <f t="shared" si="40"/>
        <v>48192.867761681846</v>
      </c>
      <c r="AJ22" s="4">
        <f t="shared" si="40"/>
        <v>49397.689455723885</v>
      </c>
      <c r="AK22" s="4">
        <f t="shared" si="40"/>
        <v>50632.631692116978</v>
      </c>
      <c r="AL22" s="4">
        <f t="shared" si="40"/>
        <v>51898.447484419899</v>
      </c>
      <c r="AM22" s="4">
        <f t="shared" si="40"/>
        <v>53195.908671530393</v>
      </c>
      <c r="AN22" s="4">
        <f t="shared" si="40"/>
        <v>54525.806388318648</v>
      </c>
      <c r="AO22" s="4">
        <f t="shared" si="40"/>
        <v>55888.951548026613</v>
      </c>
      <c r="AP22" s="4">
        <f t="shared" si="40"/>
        <v>57286.175336727276</v>
      </c>
      <c r="AQ22" s="4">
        <f t="shared" si="40"/>
        <v>58718.329720145455</v>
      </c>
      <c r="AR22" s="4">
        <f t="shared" si="40"/>
        <v>60186.287963149087</v>
      </c>
      <c r="AS22" s="4">
        <f t="shared" si="40"/>
        <v>61690.945162227807</v>
      </c>
      <c r="AT22" s="4">
        <f t="shared" si="40"/>
        <v>63233.2187912835</v>
      </c>
      <c r="AU22" s="4">
        <f t="shared" si="40"/>
        <v>64814.049261065578</v>
      </c>
      <c r="AV22" s="4">
        <f t="shared" si="40"/>
        <v>66434.400492592205</v>
      </c>
      <c r="AW22" s="4">
        <f t="shared" si="40"/>
        <v>68095.260504907012</v>
      </c>
      <c r="AX22" s="4">
        <f t="shared" si="40"/>
        <v>69797.642017529681</v>
      </c>
      <c r="AY22" s="4">
        <f t="shared" si="40"/>
        <v>71542.58306796792</v>
      </c>
      <c r="AZ22" s="4">
        <f t="shared" si="40"/>
        <v>73331.147644667115</v>
      </c>
      <c r="BA22" s="4">
        <f t="shared" si="40"/>
        <v>75164.426335783792</v>
      </c>
      <c r="BB22" s="4">
        <f t="shared" si="40"/>
        <v>77043.536994178387</v>
      </c>
      <c r="BC22" s="4">
        <f t="shared" si="40"/>
        <v>78969.625419032833</v>
      </c>
      <c r="BD22" s="4">
        <f t="shared" si="40"/>
        <v>80943.866054508646</v>
      </c>
      <c r="BE22" s="4">
        <f t="shared" si="40"/>
        <v>82967.462705871352</v>
      </c>
      <c r="BF22" s="4">
        <f t="shared" si="40"/>
        <v>85041.649273518124</v>
      </c>
      <c r="BG22" s="4">
        <f t="shared" si="40"/>
        <v>87167.690505356062</v>
      </c>
      <c r="BH22" s="4">
        <f t="shared" si="40"/>
        <v>89346.882767989955</v>
      </c>
      <c r="BI22" s="4">
        <f t="shared" si="40"/>
        <v>91580.554837189702</v>
      </c>
      <c r="BJ22" s="4">
        <f t="shared" si="40"/>
        <v>93870.068708119434</v>
      </c>
      <c r="BK22" s="4">
        <f t="shared" si="40"/>
        <v>96216.820425822414</v>
      </c>
      <c r="BL22" s="4">
        <f t="shared" si="40"/>
        <v>98622.240936467962</v>
      </c>
      <c r="BM22" s="4">
        <f t="shared" si="40"/>
        <v>101087.79695987965</v>
      </c>
      <c r="BN22" s="4">
        <f t="shared" si="40"/>
        <v>103614.99188387663</v>
      </c>
      <c r="BO22" s="4">
        <f t="shared" si="40"/>
        <v>106205.36668097354</v>
      </c>
      <c r="BP22" s="4">
        <f t="shared" si="40"/>
        <v>108860.50084799787</v>
      </c>
      <c r="BQ22" s="4">
        <f t="shared" si="40"/>
        <v>111582.01336919781</v>
      </c>
      <c r="BR22" s="4">
        <f t="shared" si="40"/>
        <v>114371.56370342775</v>
      </c>
      <c r="BS22" s="4">
        <f t="shared" si="40"/>
        <v>117230.85279601342</v>
      </c>
    </row>
    <row r="23" spans="1:71" x14ac:dyDescent="0.2">
      <c r="A23" s="1" t="s">
        <v>27</v>
      </c>
      <c r="B23" s="4">
        <f>1669+245+10</f>
        <v>1924</v>
      </c>
      <c r="C23" s="4">
        <f>1654+245+10</f>
        <v>1909</v>
      </c>
      <c r="D23" s="4">
        <f>1642+245+10</f>
        <v>1897</v>
      </c>
      <c r="E23" s="4">
        <f>S23</f>
        <v>1906</v>
      </c>
      <c r="F23" s="4">
        <f>1629+245+10</f>
        <v>1884</v>
      </c>
      <c r="G23" s="4">
        <f>1624+245+10</f>
        <v>1879</v>
      </c>
      <c r="H23" s="4">
        <f>1614+245+10</f>
        <v>1869</v>
      </c>
      <c r="I23" s="4"/>
      <c r="J23" s="4"/>
      <c r="K23" s="4">
        <f>1579+245+9</f>
        <v>1833</v>
      </c>
      <c r="L23" s="4"/>
      <c r="M23" s="4"/>
      <c r="Q23" s="1">
        <f>1697+245+11</f>
        <v>1953</v>
      </c>
      <c r="R23" s="1">
        <f>1691+245+10</f>
        <v>1946</v>
      </c>
      <c r="S23" s="1">
        <f>1651+245+10</f>
        <v>1906</v>
      </c>
      <c r="T23" s="1">
        <f>1618+245+10</f>
        <v>1873</v>
      </c>
      <c r="U23" s="1">
        <f>+T23*0.98</f>
        <v>1835.54</v>
      </c>
      <c r="V23" s="1">
        <f t="shared" ref="V23:AA23" si="41">+U23*0.98</f>
        <v>1798.8291999999999</v>
      </c>
      <c r="W23" s="1">
        <f t="shared" si="41"/>
        <v>1762.8526159999999</v>
      </c>
      <c r="X23" s="1">
        <f t="shared" si="41"/>
        <v>1727.5955636799999</v>
      </c>
      <c r="Y23" s="1">
        <f t="shared" si="41"/>
        <v>1693.0436524063998</v>
      </c>
      <c r="Z23" s="1">
        <f t="shared" si="41"/>
        <v>1659.1827793582718</v>
      </c>
      <c r="AA23" s="1">
        <f t="shared" si="41"/>
        <v>1625.9991237711063</v>
      </c>
    </row>
    <row r="24" spans="1:71" x14ac:dyDescent="0.2">
      <c r="A24" s="1" t="s">
        <v>28</v>
      </c>
      <c r="B24" s="8">
        <f t="shared" ref="B24:G24" si="42">B22/B23</f>
        <v>2.0576923076923075</v>
      </c>
      <c r="C24" s="8">
        <f t="shared" si="42"/>
        <v>1.9104243059193295</v>
      </c>
      <c r="D24" s="8">
        <f t="shared" si="42"/>
        <v>1.7981022667369531</v>
      </c>
      <c r="E24" s="8">
        <f t="shared" si="42"/>
        <v>2.0671563483735573</v>
      </c>
      <c r="F24" s="8">
        <f t="shared" si="42"/>
        <v>2.218152866242038</v>
      </c>
      <c r="G24" s="8">
        <f t="shared" si="42"/>
        <v>2.2655667908461949</v>
      </c>
      <c r="H24" s="8">
        <f>H22/H23</f>
        <v>2.2236490101658641</v>
      </c>
      <c r="I24" s="8" t="e">
        <f t="shared" ref="I24:M24" si="43">I22/I23</f>
        <v>#DIV/0!</v>
      </c>
      <c r="J24" s="8" t="e">
        <f t="shared" si="43"/>
        <v>#DIV/0!</v>
      </c>
      <c r="K24" s="8">
        <f t="shared" si="43"/>
        <v>3.4713584288052375</v>
      </c>
      <c r="L24" s="8" t="e">
        <f t="shared" si="43"/>
        <v>#DIV/0!</v>
      </c>
      <c r="M24" s="8" t="e">
        <f t="shared" si="43"/>
        <v>#DIV/0!</v>
      </c>
      <c r="N24" s="8"/>
      <c r="Q24" s="8">
        <f t="shared" ref="Q24:R24" si="44">Q22/Q23</f>
        <v>5.5637480798771124</v>
      </c>
      <c r="R24" s="8">
        <f t="shared" si="44"/>
        <v>6.3263103802672145</v>
      </c>
      <c r="S24" s="8">
        <f>S22/S23</f>
        <v>7.8473242392444913</v>
      </c>
      <c r="T24" s="8">
        <f>+T22/T23</f>
        <v>9.5786438868125998</v>
      </c>
      <c r="U24" s="8">
        <f t="shared" ref="U24:AA24" si="45">+U22/U23</f>
        <v>10.420852065332271</v>
      </c>
      <c r="V24" s="8">
        <f t="shared" si="45"/>
        <v>12.080620655924422</v>
      </c>
      <c r="W24" s="8">
        <f t="shared" si="45"/>
        <v>13.950935673944059</v>
      </c>
      <c r="X24" s="8">
        <f t="shared" si="45"/>
        <v>16.075903298934556</v>
      </c>
      <c r="Y24" s="8">
        <f t="shared" si="45"/>
        <v>18.487993578794182</v>
      </c>
      <c r="Z24" s="8">
        <f t="shared" si="45"/>
        <v>21.224172737750227</v>
      </c>
      <c r="AA24" s="8">
        <f t="shared" si="45"/>
        <v>24.326046905433181</v>
      </c>
    </row>
    <row r="26" spans="1:71" x14ac:dyDescent="0.2">
      <c r="A26" s="1" t="s">
        <v>30</v>
      </c>
      <c r="B26" s="9">
        <f t="shared" ref="B26:G26" si="46">B17/B8</f>
        <v>0.67658308542286438</v>
      </c>
      <c r="C26" s="9">
        <f t="shared" si="46"/>
        <v>0.66796494644595905</v>
      </c>
      <c r="D26" s="9">
        <f t="shared" si="46"/>
        <v>0.57017182130584187</v>
      </c>
      <c r="E26" s="9">
        <f t="shared" si="46"/>
        <v>0.6532682676255297</v>
      </c>
      <c r="F26" s="9">
        <f t="shared" si="46"/>
        <v>0.64138104838709675</v>
      </c>
      <c r="G26" s="9">
        <f t="shared" si="46"/>
        <v>0.66825297432686281</v>
      </c>
      <c r="H26" s="9">
        <f>H17/H8</f>
        <v>0.6184907054044072</v>
      </c>
      <c r="I26" s="9" t="e">
        <f t="shared" ref="I26:AA26" si="47">I17/I8</f>
        <v>#DIV/0!</v>
      </c>
      <c r="J26" s="9">
        <f t="shared" si="47"/>
        <v>0.68959925874449846</v>
      </c>
      <c r="K26" s="9">
        <f t="shared" si="47"/>
        <v>0.61014245014245017</v>
      </c>
      <c r="L26" s="9" t="e">
        <f t="shared" si="47"/>
        <v>#DIV/0!</v>
      </c>
      <c r="M26" s="9" t="e">
        <f t="shared" si="47"/>
        <v>#DIV/0!</v>
      </c>
      <c r="N26" s="9"/>
      <c r="O26" s="9"/>
      <c r="P26" s="9"/>
      <c r="Q26" s="9">
        <f t="shared" si="47"/>
        <v>0.64455735603771858</v>
      </c>
      <c r="R26" s="9">
        <f t="shared" si="47"/>
        <v>0.65563161169881767</v>
      </c>
      <c r="S26" s="9">
        <f t="shared" si="47"/>
        <v>0.64186284544524053</v>
      </c>
      <c r="T26" s="9">
        <f t="shared" si="47"/>
        <v>0.66357761920803604</v>
      </c>
      <c r="U26" s="9">
        <f t="shared" si="47"/>
        <v>0.6726164657013276</v>
      </c>
      <c r="V26" s="9">
        <f t="shared" si="47"/>
        <v>0.68124445553583346</v>
      </c>
      <c r="W26" s="9">
        <f t="shared" si="47"/>
        <v>0.68948026401422535</v>
      </c>
      <c r="X26" s="9">
        <f t="shared" si="47"/>
        <v>0.69734171756178132</v>
      </c>
      <c r="Y26" s="9">
        <f t="shared" si="47"/>
        <v>0.70484583231172093</v>
      </c>
      <c r="Z26" s="9">
        <f t="shared" si="47"/>
        <v>0.71200885093666333</v>
      </c>
      <c r="AA26" s="9">
        <f t="shared" si="47"/>
        <v>0.71884627780592647</v>
      </c>
    </row>
    <row r="27" spans="1:71" x14ac:dyDescent="0.2">
      <c r="A27" s="1" t="s">
        <v>29</v>
      </c>
      <c r="B27" s="9">
        <f t="shared" ref="B27:G27" si="48">B22/B8</f>
        <v>0.56084431222552766</v>
      </c>
      <c r="C27" s="9">
        <f t="shared" si="48"/>
        <v>0.50730282375851998</v>
      </c>
      <c r="D27" s="9">
        <f t="shared" si="48"/>
        <v>0.46886597938144331</v>
      </c>
      <c r="E27" s="9">
        <f t="shared" si="48"/>
        <v>0.50597149094644922</v>
      </c>
      <c r="F27" s="9">
        <f t="shared" si="48"/>
        <v>0.52658770161290325</v>
      </c>
      <c r="G27" s="9">
        <f t="shared" si="48"/>
        <v>0.53312460864120226</v>
      </c>
      <c r="H27" s="9">
        <f>H22/H8</f>
        <v>0.5116336328942509</v>
      </c>
      <c r="I27" s="9" t="e">
        <f t="shared" ref="I27:AA27" si="49">I22/I8</f>
        <v>#DIV/0!</v>
      </c>
      <c r="J27" s="9">
        <f t="shared" si="49"/>
        <v>0.83321751216122308</v>
      </c>
      <c r="K27" s="9">
        <f t="shared" si="49"/>
        <v>0.72512820512820508</v>
      </c>
      <c r="L27" s="9" t="e">
        <f t="shared" si="49"/>
        <v>#DIV/0!</v>
      </c>
      <c r="M27" s="9" t="e">
        <f t="shared" si="49"/>
        <v>#DIV/0!</v>
      </c>
      <c r="N27" s="9"/>
      <c r="O27" s="9"/>
      <c r="P27" s="9"/>
      <c r="Q27" s="9">
        <f t="shared" si="49"/>
        <v>0.49739082669596263</v>
      </c>
      <c r="R27" s="9">
        <f t="shared" si="49"/>
        <v>0.51072391619995849</v>
      </c>
      <c r="S27" s="9">
        <f t="shared" si="49"/>
        <v>0.51030365063118388</v>
      </c>
      <c r="T27" s="9">
        <f t="shared" si="49"/>
        <v>0.54943803019630655</v>
      </c>
      <c r="U27" s="9">
        <f t="shared" si="49"/>
        <v>0.53253886737401257</v>
      </c>
      <c r="V27" s="9">
        <f t="shared" si="49"/>
        <v>0.55001016675976511</v>
      </c>
      <c r="W27" s="9">
        <f t="shared" si="49"/>
        <v>0.56587198934137561</v>
      </c>
      <c r="X27" s="9">
        <f t="shared" si="49"/>
        <v>0.58092977488980535</v>
      </c>
      <c r="Y27" s="9">
        <f t="shared" si="49"/>
        <v>0.59521165047253111</v>
      </c>
      <c r="Z27" s="9">
        <f t="shared" si="49"/>
        <v>0.60875957315383766</v>
      </c>
      <c r="AA27" s="9">
        <f t="shared" si="49"/>
        <v>0.6216128198976405</v>
      </c>
    </row>
    <row r="29" spans="1:71" x14ac:dyDescent="0.2">
      <c r="A29" s="1" t="s">
        <v>48</v>
      </c>
      <c r="E29" s="5"/>
      <c r="F29" s="5">
        <f>F8/B8-1</f>
        <v>0.12423856070264905</v>
      </c>
      <c r="G29" s="5">
        <f>G8/C8-1</f>
        <v>0.11072471831965514</v>
      </c>
      <c r="H29" s="5">
        <f>H8/D8-1</f>
        <v>0.11656357388316141</v>
      </c>
      <c r="I29" s="5">
        <f t="shared" ref="I29:M29" si="50">I8/E8-1</f>
        <v>-1</v>
      </c>
      <c r="J29" s="5">
        <f t="shared" si="50"/>
        <v>8.7953629032258007E-2</v>
      </c>
      <c r="K29" s="5">
        <f t="shared" si="50"/>
        <v>9.8935504070131408E-2</v>
      </c>
      <c r="L29" s="5">
        <f t="shared" si="50"/>
        <v>-1</v>
      </c>
      <c r="M29" s="5" t="e">
        <f t="shared" si="50"/>
        <v>#DIV/0!</v>
      </c>
      <c r="R29" s="5">
        <f t="shared" ref="R29:AA29" si="51">R8/Q8-1</f>
        <v>0.10340565778632249</v>
      </c>
      <c r="S29" s="5">
        <f t="shared" si="51"/>
        <v>0.21593030491599263</v>
      </c>
      <c r="T29" s="5">
        <f t="shared" si="51"/>
        <v>0.11405663596042315</v>
      </c>
      <c r="U29" s="5">
        <f t="shared" si="51"/>
        <v>0.10000000000000009</v>
      </c>
      <c r="V29" s="5">
        <f t="shared" si="51"/>
        <v>0.10000000000000009</v>
      </c>
      <c r="W29" s="5">
        <f t="shared" si="51"/>
        <v>0.10000000000000009</v>
      </c>
      <c r="X29" s="5">
        <f t="shared" si="51"/>
        <v>0.10000000000000009</v>
      </c>
      <c r="Y29" s="5">
        <f t="shared" si="51"/>
        <v>0.10000000000000009</v>
      </c>
      <c r="Z29" s="5">
        <f t="shared" si="51"/>
        <v>0.10000000000000009</v>
      </c>
      <c r="AA29" s="5">
        <f t="shared" si="51"/>
        <v>0.10000000000000009</v>
      </c>
    </row>
    <row r="31" spans="1:71" x14ac:dyDescent="0.2">
      <c r="A31" s="1" t="s">
        <v>49</v>
      </c>
      <c r="B31" s="1">
        <v>4232</v>
      </c>
      <c r="C31" s="1">
        <v>3489</v>
      </c>
      <c r="D31" s="1">
        <v>5252</v>
      </c>
      <c r="E31" s="1">
        <v>5876</v>
      </c>
      <c r="F31" s="1">
        <v>4171</v>
      </c>
      <c r="G31" s="1">
        <v>3860</v>
      </c>
      <c r="H31" s="1">
        <v>5797</v>
      </c>
      <c r="J31" s="1">
        <v>3614</v>
      </c>
      <c r="K31" s="1">
        <v>8152</v>
      </c>
      <c r="O31" s="5">
        <f>S31/S8</f>
        <v>0.64309109518935514</v>
      </c>
      <c r="Q31" s="4">
        <v>10440</v>
      </c>
      <c r="R31" s="4">
        <v>15227</v>
      </c>
      <c r="S31" s="4">
        <v>18849</v>
      </c>
      <c r="T31" s="4">
        <v>20755</v>
      </c>
      <c r="U31" s="4"/>
      <c r="V31" s="4"/>
      <c r="W31" s="4"/>
      <c r="X31" s="4"/>
      <c r="Y31" s="4"/>
      <c r="Z31" s="4"/>
      <c r="AA31" s="4"/>
    </row>
    <row r="32" spans="1:71" x14ac:dyDescent="0.2">
      <c r="A32" s="1" t="s">
        <v>50</v>
      </c>
      <c r="B32" s="1">
        <v>173</v>
      </c>
      <c r="C32" s="1">
        <v>267</v>
      </c>
      <c r="D32" s="1">
        <v>235</v>
      </c>
      <c r="E32" s="1">
        <v>295</v>
      </c>
      <c r="F32" s="1">
        <v>249</v>
      </c>
      <c r="G32" s="1">
        <v>210</v>
      </c>
      <c r="H32" s="1">
        <v>295</v>
      </c>
      <c r="J32" s="1">
        <v>267</v>
      </c>
      <c r="K32" s="1">
        <v>548</v>
      </c>
      <c r="Q32" s="4">
        <v>736</v>
      </c>
      <c r="R32" s="4">
        <v>705</v>
      </c>
      <c r="S32" s="4">
        <v>970</v>
      </c>
      <c r="T32" s="4">
        <v>1059</v>
      </c>
      <c r="U32" s="4"/>
      <c r="V32" s="4"/>
      <c r="W32" s="4"/>
      <c r="X32" s="4"/>
      <c r="Y32" s="4"/>
      <c r="Z32" s="4"/>
      <c r="AA32" s="4"/>
    </row>
    <row r="33" spans="1:52" x14ac:dyDescent="0.2">
      <c r="A33" s="2" t="s">
        <v>51</v>
      </c>
      <c r="B33" s="2">
        <f t="shared" ref="B33:G33" si="52">B31-B32</f>
        <v>4059</v>
      </c>
      <c r="C33" s="2">
        <f t="shared" si="52"/>
        <v>3222</v>
      </c>
      <c r="D33" s="2">
        <f t="shared" si="52"/>
        <v>5017</v>
      </c>
      <c r="E33" s="2">
        <f t="shared" si="52"/>
        <v>5581</v>
      </c>
      <c r="F33" s="2">
        <f t="shared" si="52"/>
        <v>3922</v>
      </c>
      <c r="G33" s="2">
        <f t="shared" si="52"/>
        <v>3650</v>
      </c>
      <c r="H33" s="2">
        <f>H31-H32</f>
        <v>5502</v>
      </c>
      <c r="I33" s="2">
        <f t="shared" ref="I33" si="53">I31-I32</f>
        <v>0</v>
      </c>
      <c r="J33" s="2">
        <f t="shared" ref="J33" si="54">J31-J32</f>
        <v>3347</v>
      </c>
      <c r="K33" s="2">
        <f t="shared" ref="K33" si="55">K31-K32</f>
        <v>7604</v>
      </c>
      <c r="L33" s="2">
        <f t="shared" ref="L33" si="56">L31-L32</f>
        <v>0</v>
      </c>
      <c r="M33" s="2">
        <f t="shared" ref="M33" si="57">M31-M32</f>
        <v>0</v>
      </c>
      <c r="N33" s="2"/>
      <c r="O33" s="5">
        <f>S33/S8</f>
        <v>0.60999658819515523</v>
      </c>
      <c r="Q33" s="7">
        <f t="shared" ref="Q33" si="58">Q31-Q32</f>
        <v>9704</v>
      </c>
      <c r="R33" s="7">
        <f t="shared" ref="R33" si="59">R31-R32</f>
        <v>14522</v>
      </c>
      <c r="S33" s="7">
        <f t="shared" ref="S33" si="60">S31-S32</f>
        <v>17879</v>
      </c>
      <c r="T33" s="7">
        <f t="shared" ref="T33:AA33" si="61">T8*$O$33</f>
        <v>19918.218594336402</v>
      </c>
      <c r="U33" s="7">
        <f t="shared" si="61"/>
        <v>21910.040453770045</v>
      </c>
      <c r="V33" s="7">
        <f t="shared" si="61"/>
        <v>24101.04449914705</v>
      </c>
      <c r="W33" s="7">
        <f t="shared" si="61"/>
        <v>26511.148949061761</v>
      </c>
      <c r="X33" s="7">
        <f t="shared" si="61"/>
        <v>29162.263843967939</v>
      </c>
      <c r="Y33" s="7">
        <f t="shared" si="61"/>
        <v>32078.490228364735</v>
      </c>
      <c r="Z33" s="7">
        <f t="shared" si="61"/>
        <v>35286.339251201214</v>
      </c>
      <c r="AA33" s="7">
        <f t="shared" si="61"/>
        <v>38814.973176321342</v>
      </c>
      <c r="AB33" s="2"/>
      <c r="AC33" s="2"/>
      <c r="AD33" s="2"/>
      <c r="AE33" s="2"/>
      <c r="AF33" s="2"/>
      <c r="AG33" s="2"/>
      <c r="AH33" s="2"/>
      <c r="AI33" s="2"/>
      <c r="AJ33" s="2"/>
      <c r="AK33" s="2"/>
      <c r="AL33" s="2"/>
      <c r="AM33" s="2"/>
      <c r="AN33" s="2"/>
      <c r="AO33" s="2"/>
      <c r="AP33" s="2"/>
      <c r="AQ33" s="2"/>
      <c r="AR33" s="2"/>
      <c r="AS33" s="2"/>
      <c r="AT33" s="2"/>
      <c r="AU33" s="2"/>
      <c r="AV33" s="2"/>
      <c r="AW33" s="2"/>
      <c r="AX33" s="2"/>
      <c r="AY33" s="2"/>
      <c r="AZ33" s="2"/>
    </row>
    <row r="35" spans="1:52" x14ac:dyDescent="0.2">
      <c r="A35" s="1" t="s">
        <v>70</v>
      </c>
      <c r="H35" s="1">
        <f>+H38-H53</f>
        <v>1945</v>
      </c>
      <c r="K35" s="1">
        <f>+K38-K53</f>
        <v>1776</v>
      </c>
      <c r="S35" s="1">
        <f>+K35</f>
        <v>1776</v>
      </c>
      <c r="T35" s="4">
        <f>+S35+T22</f>
        <v>19716.8</v>
      </c>
      <c r="U35" s="4">
        <f t="shared" ref="U35:AA35" si="62">+T35+U22</f>
        <v>38844.690799999997</v>
      </c>
      <c r="V35" s="4">
        <f t="shared" si="62"/>
        <v>60575.663990000001</v>
      </c>
      <c r="W35" s="4">
        <f t="shared" si="62"/>
        <v>85169.107438460007</v>
      </c>
      <c r="X35" s="4">
        <f t="shared" si="62"/>
        <v>112941.76665984801</v>
      </c>
      <c r="Y35" s="4">
        <f t="shared" si="62"/>
        <v>144242.74683415578</v>
      </c>
      <c r="Z35" s="4">
        <f t="shared" si="62"/>
        <v>179457.52874675626</v>
      </c>
      <c r="AA35" s="4">
        <f t="shared" si="62"/>
        <v>219011.65969980543</v>
      </c>
    </row>
    <row r="37" spans="1:52" x14ac:dyDescent="0.2">
      <c r="A37" s="2" t="s">
        <v>31</v>
      </c>
    </row>
    <row r="38" spans="1:52" x14ac:dyDescent="0.2">
      <c r="A38" s="1" t="s">
        <v>4</v>
      </c>
      <c r="H38" s="1">
        <f>15590+1627+3166+2122</f>
        <v>22505</v>
      </c>
      <c r="K38" s="1">
        <f>12993+1584+4710+3092</f>
        <v>22379</v>
      </c>
    </row>
    <row r="39" spans="1:52" x14ac:dyDescent="0.2">
      <c r="A39" s="1" t="s">
        <v>32</v>
      </c>
      <c r="H39" s="1">
        <f>2454+2282</f>
        <v>4736</v>
      </c>
      <c r="K39" s="1">
        <f>2272+3558</f>
        <v>5830</v>
      </c>
    </row>
    <row r="40" spans="1:52" x14ac:dyDescent="0.2">
      <c r="A40" s="1" t="s">
        <v>33</v>
      </c>
      <c r="H40" s="1">
        <v>2907</v>
      </c>
      <c r="K40" s="1">
        <v>3367</v>
      </c>
    </row>
    <row r="41" spans="1:52" x14ac:dyDescent="0.2">
      <c r="A41" s="1" t="s">
        <v>11</v>
      </c>
      <c r="H41" s="1">
        <f>1525+3811</f>
        <v>5336</v>
      </c>
      <c r="K41" s="1">
        <f>1740+3998</f>
        <v>5738</v>
      </c>
    </row>
    <row r="42" spans="1:52" x14ac:dyDescent="0.2">
      <c r="A42" s="1" t="s">
        <v>42</v>
      </c>
      <c r="H42" s="1">
        <v>3370</v>
      </c>
      <c r="K42" s="1">
        <v>3630</v>
      </c>
    </row>
    <row r="43" spans="1:52" x14ac:dyDescent="0.2">
      <c r="A43" s="1" t="s">
        <v>43</v>
      </c>
      <c r="H43" s="1">
        <f>18082+26576</f>
        <v>44658</v>
      </c>
      <c r="K43" s="1">
        <f>18837+26375</f>
        <v>45212</v>
      </c>
    </row>
    <row r="44" spans="1:52" x14ac:dyDescent="0.2">
      <c r="A44" s="1" t="s">
        <v>34</v>
      </c>
      <c r="H44" s="1">
        <f>2119+3603</f>
        <v>5722</v>
      </c>
      <c r="K44" s="1">
        <f>2551+3692</f>
        <v>6243</v>
      </c>
    </row>
    <row r="45" spans="1:52" x14ac:dyDescent="0.2">
      <c r="A45" s="1" t="s">
        <v>35</v>
      </c>
      <c r="H45" s="1">
        <f>SUM(H38:H44)</f>
        <v>89234</v>
      </c>
      <c r="K45" s="1">
        <f>SUM(K38:K44)</f>
        <v>92399</v>
      </c>
    </row>
    <row r="47" spans="1:52" x14ac:dyDescent="0.2">
      <c r="A47" s="1" t="s">
        <v>36</v>
      </c>
      <c r="H47" s="1">
        <f>281+3675</f>
        <v>3956</v>
      </c>
      <c r="K47" s="1">
        <f>338+4485</f>
        <v>4823</v>
      </c>
    </row>
    <row r="48" spans="1:52" x14ac:dyDescent="0.2">
      <c r="A48" s="1" t="s">
        <v>37</v>
      </c>
      <c r="H48" s="1">
        <v>2907</v>
      </c>
      <c r="K48" s="1">
        <v>3367</v>
      </c>
    </row>
    <row r="49" spans="1:11" x14ac:dyDescent="0.2">
      <c r="A49" s="1" t="s">
        <v>38</v>
      </c>
      <c r="H49" s="1">
        <v>1215</v>
      </c>
      <c r="K49" s="1">
        <v>1065</v>
      </c>
    </row>
    <row r="50" spans="1:11" x14ac:dyDescent="0.2">
      <c r="A50" s="1" t="s">
        <v>11</v>
      </c>
      <c r="H50" s="1">
        <v>7532</v>
      </c>
      <c r="K50" s="1">
        <v>7949</v>
      </c>
    </row>
    <row r="51" spans="1:11" x14ac:dyDescent="0.2">
      <c r="A51" s="1" t="s">
        <v>39</v>
      </c>
      <c r="H51" s="1">
        <v>4075</v>
      </c>
      <c r="K51" s="1">
        <v>4386</v>
      </c>
    </row>
    <row r="52" spans="1:11" x14ac:dyDescent="0.2">
      <c r="A52" s="1" t="s">
        <v>45</v>
      </c>
      <c r="H52" s="1">
        <v>1545</v>
      </c>
      <c r="K52" s="1">
        <v>1853</v>
      </c>
    </row>
    <row r="53" spans="1:11" x14ac:dyDescent="0.2">
      <c r="A53" s="1" t="s">
        <v>5</v>
      </c>
      <c r="H53" s="1">
        <v>20560</v>
      </c>
      <c r="K53" s="1">
        <v>20603</v>
      </c>
    </row>
    <row r="54" spans="1:11" x14ac:dyDescent="0.2">
      <c r="A54" s="1" t="s">
        <v>40</v>
      </c>
      <c r="H54" s="1">
        <v>5380</v>
      </c>
      <c r="K54" s="1">
        <v>5145</v>
      </c>
    </row>
    <row r="55" spans="1:11" x14ac:dyDescent="0.2">
      <c r="A55" s="1" t="s">
        <v>41</v>
      </c>
      <c r="H55" s="1">
        <v>3083</v>
      </c>
      <c r="K55" s="1">
        <v>2723</v>
      </c>
    </row>
    <row r="56" spans="1:11" x14ac:dyDescent="0.2">
      <c r="A56" s="1" t="s">
        <v>44</v>
      </c>
      <c r="H56" s="1">
        <f>SUM(H47:H55)</f>
        <v>50253</v>
      </c>
      <c r="K56" s="1">
        <f>SUM(K47:K55)</f>
        <v>51914</v>
      </c>
    </row>
    <row r="57" spans="1:11" x14ac:dyDescent="0.2">
      <c r="A57" s="1" t="s">
        <v>46</v>
      </c>
      <c r="H57" s="1">
        <f>H45-H56</f>
        <v>38981</v>
      </c>
      <c r="K57" s="1">
        <f>K45-K56</f>
        <v>40485</v>
      </c>
    </row>
    <row r="58" spans="1:11" x14ac:dyDescent="0.2">
      <c r="A58" s="1" t="s">
        <v>47</v>
      </c>
      <c r="H58" s="1">
        <f>H57+H56</f>
        <v>89234</v>
      </c>
      <c r="K58" s="1">
        <f>K57+K56</f>
        <v>92399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Alexandre Morais</dc:creator>
  <cp:lastModifiedBy>alexandreduartemorais@gmail.com</cp:lastModifiedBy>
  <dcterms:created xsi:type="dcterms:W3CDTF">2023-10-21T13:10:57Z</dcterms:created>
  <dcterms:modified xsi:type="dcterms:W3CDTF">2024-09-05T13:49:41Z</dcterms:modified>
</cp:coreProperties>
</file>