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679" documentId="8_{5AEB1C44-8C19-45C3-B7BF-C13BA4242EC9}" xr6:coauthVersionLast="47" xr6:coauthVersionMax="47" xr10:uidLastSave="{BFA85EED-F9F5-4033-A874-E9BEB2096A91}"/>
  <bookViews>
    <workbookView minimized="1" xWindow="5760" yWindow="3360" windowWidth="17280" windowHeight="8880" activeTab="1" xr2:uid="{A79D9084-70CD-4BA1-9AF0-419149A20FF3}"/>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2" l="1"/>
  <c r="P37" i="2"/>
  <c r="J37" i="2"/>
  <c r="B5" i="1"/>
  <c r="Z5" i="2" s="1"/>
  <c r="K30" i="2"/>
  <c r="K29" i="2"/>
  <c r="K31" i="2" s="1"/>
  <c r="K13" i="2"/>
  <c r="K8" i="2"/>
  <c r="K25" i="2" s="1"/>
  <c r="K7" i="2"/>
  <c r="K4" i="2"/>
  <c r="J31" i="2"/>
  <c r="Q2" i="2"/>
  <c r="R2" i="2" s="1"/>
  <c r="Q6" i="2"/>
  <c r="R6" i="2" s="1"/>
  <c r="S6" i="2" s="1"/>
  <c r="T6" i="2" s="1"/>
  <c r="U6" i="2" s="1"/>
  <c r="V6" i="2" s="1"/>
  <c r="W6" i="2" s="1"/>
  <c r="Q5" i="2"/>
  <c r="R5" i="2" s="1"/>
  <c r="S5" i="2" s="1"/>
  <c r="T5" i="2" s="1"/>
  <c r="U5" i="2" s="1"/>
  <c r="V5" i="2" s="1"/>
  <c r="W5" i="2" s="1"/>
  <c r="J13" i="2"/>
  <c r="J8" i="2"/>
  <c r="J25" i="2" s="1"/>
  <c r="Q19" i="2"/>
  <c r="R19" i="2" s="1"/>
  <c r="S19" i="2" s="1"/>
  <c r="T19" i="2" s="1"/>
  <c r="U19" i="2" s="1"/>
  <c r="V19" i="2" s="1"/>
  <c r="W19" i="2" s="1"/>
  <c r="Q12" i="2"/>
  <c r="R12" i="2" s="1"/>
  <c r="S12" i="2" s="1"/>
  <c r="T12" i="2" s="1"/>
  <c r="U12" i="2" s="1"/>
  <c r="V12" i="2" s="1"/>
  <c r="W12" i="2" s="1"/>
  <c r="Q11" i="2"/>
  <c r="R11" i="2" s="1"/>
  <c r="S11" i="2" s="1"/>
  <c r="Q3" i="2"/>
  <c r="I31" i="2"/>
  <c r="E17" i="2"/>
  <c r="E15" i="2"/>
  <c r="E12" i="2"/>
  <c r="E11" i="2"/>
  <c r="E10" i="2"/>
  <c r="E6" i="2"/>
  <c r="E5" i="2"/>
  <c r="E3" i="2"/>
  <c r="E2" i="2"/>
  <c r="V31" i="2"/>
  <c r="U31" i="2"/>
  <c r="T31" i="2"/>
  <c r="S31" i="2"/>
  <c r="R31" i="2"/>
  <c r="Q31" i="2"/>
  <c r="P31" i="2"/>
  <c r="O31" i="2"/>
  <c r="N31" i="2"/>
  <c r="M31" i="2"/>
  <c r="P13" i="2"/>
  <c r="O13" i="2"/>
  <c r="N13" i="2"/>
  <c r="M13" i="2"/>
  <c r="P8" i="2"/>
  <c r="P25" i="2" s="1"/>
  <c r="O8" i="2"/>
  <c r="O25" i="2" s="1"/>
  <c r="N8" i="2"/>
  <c r="N25" i="2" s="1"/>
  <c r="M8" i="2"/>
  <c r="M25" i="2" s="1"/>
  <c r="P7" i="2"/>
  <c r="O7" i="2"/>
  <c r="O24" i="2" s="1"/>
  <c r="N7" i="2"/>
  <c r="N24" i="2" s="1"/>
  <c r="M7" i="2"/>
  <c r="M24" i="2" s="1"/>
  <c r="P4" i="2"/>
  <c r="O4" i="2"/>
  <c r="N4" i="2"/>
  <c r="M4" i="2"/>
  <c r="C40" i="2"/>
  <c r="G40" i="2"/>
  <c r="N1" i="2"/>
  <c r="O1" i="2" s="1"/>
  <c r="P1" i="2" s="1"/>
  <c r="Q1" i="2" s="1"/>
  <c r="R1" i="2" s="1"/>
  <c r="S1" i="2" s="1"/>
  <c r="T1" i="2" s="1"/>
  <c r="U1" i="2" s="1"/>
  <c r="V1" i="2" s="1"/>
  <c r="W1" i="2" s="1"/>
  <c r="J29" i="1"/>
  <c r="I29" i="1"/>
  <c r="H29" i="1"/>
  <c r="H24" i="1"/>
  <c r="I23" i="1" s="1"/>
  <c r="H56" i="2"/>
  <c r="H54" i="2"/>
  <c r="H46" i="2"/>
  <c r="H41" i="2"/>
  <c r="H40" i="2"/>
  <c r="H58" i="2" l="1"/>
  <c r="K9" i="2"/>
  <c r="K23" i="2" s="1"/>
  <c r="P22" i="2"/>
  <c r="K24" i="2"/>
  <c r="N22" i="2"/>
  <c r="O22" i="2"/>
  <c r="R3" i="2"/>
  <c r="S3" i="2" s="1"/>
  <c r="S2" i="2"/>
  <c r="T2" i="2" s="1"/>
  <c r="U2" i="2" s="1"/>
  <c r="V2" i="2" s="1"/>
  <c r="W2" i="2" s="1"/>
  <c r="J4" i="2"/>
  <c r="J7" i="2"/>
  <c r="T11" i="2"/>
  <c r="Q8" i="2"/>
  <c r="Q25" i="2" s="1"/>
  <c r="Q4" i="2"/>
  <c r="Q10" i="2" s="1"/>
  <c r="Q13" i="2" s="1"/>
  <c r="Q7" i="2"/>
  <c r="Q24" i="2" s="1"/>
  <c r="I13" i="2"/>
  <c r="I8" i="2"/>
  <c r="I25" i="2" s="1"/>
  <c r="I4" i="2"/>
  <c r="I7" i="2"/>
  <c r="P9" i="2"/>
  <c r="P23" i="2" s="1"/>
  <c r="M9" i="2"/>
  <c r="P24" i="2"/>
  <c r="N9" i="2"/>
  <c r="O9" i="2"/>
  <c r="H49" i="2"/>
  <c r="I21" i="1"/>
  <c r="I22" i="1"/>
  <c r="I20" i="1"/>
  <c r="G31" i="2"/>
  <c r="J32" i="2" s="1"/>
  <c r="F31" i="2"/>
  <c r="I32" i="2" s="1"/>
  <c r="E31" i="2"/>
  <c r="D31" i="2"/>
  <c r="C31" i="2"/>
  <c r="B31" i="2"/>
  <c r="H31" i="2"/>
  <c r="K32" i="2" s="1"/>
  <c r="H13" i="2"/>
  <c r="G13" i="2"/>
  <c r="F13" i="2"/>
  <c r="E13" i="2"/>
  <c r="D13" i="2"/>
  <c r="C13" i="2"/>
  <c r="B13" i="2"/>
  <c r="H8" i="2"/>
  <c r="H25" i="2" s="1"/>
  <c r="G7" i="2"/>
  <c r="G24" i="2" s="1"/>
  <c r="F7" i="2"/>
  <c r="F24" i="2" s="1"/>
  <c r="E7" i="2"/>
  <c r="E24" i="2" s="1"/>
  <c r="D7" i="2"/>
  <c r="D24" i="2" s="1"/>
  <c r="C7" i="2"/>
  <c r="C24" i="2" s="1"/>
  <c r="B7" i="2"/>
  <c r="B24" i="2" s="1"/>
  <c r="G8" i="2"/>
  <c r="G25" i="2" s="1"/>
  <c r="F8" i="2"/>
  <c r="F25" i="2" s="1"/>
  <c r="E8" i="2"/>
  <c r="E25" i="2" s="1"/>
  <c r="D8" i="2"/>
  <c r="D25" i="2" s="1"/>
  <c r="C8" i="2"/>
  <c r="C25" i="2" s="1"/>
  <c r="B8" i="2"/>
  <c r="B25" i="2" s="1"/>
  <c r="H7" i="2"/>
  <c r="H24" i="2" s="1"/>
  <c r="G4" i="2"/>
  <c r="K22" i="2" s="1"/>
  <c r="F4" i="2"/>
  <c r="E4" i="2"/>
  <c r="D4" i="2"/>
  <c r="C4" i="2"/>
  <c r="B4" i="2"/>
  <c r="H4" i="2"/>
  <c r="B2" i="1" a="1"/>
  <c r="B2" i="1" s="1"/>
  <c r="B4" i="1" s="1"/>
  <c r="B7" i="1" s="1"/>
  <c r="H60" i="2" l="1"/>
  <c r="K14" i="2"/>
  <c r="T3" i="2"/>
  <c r="U3" i="2" s="1"/>
  <c r="V3" i="2" s="1"/>
  <c r="W3" i="2" s="1"/>
  <c r="S8" i="2"/>
  <c r="S25" i="2" s="1"/>
  <c r="M22" i="2"/>
  <c r="J22" i="2"/>
  <c r="J9" i="2"/>
  <c r="J24" i="2"/>
  <c r="R8" i="2"/>
  <c r="R25" i="2" s="1"/>
  <c r="I22" i="2"/>
  <c r="R7" i="2"/>
  <c r="R24" i="2" s="1"/>
  <c r="R4" i="2"/>
  <c r="R10" i="2" s="1"/>
  <c r="R13" i="2" s="1"/>
  <c r="U11" i="2"/>
  <c r="T8" i="2"/>
  <c r="T25" i="2" s="1"/>
  <c r="S7" i="2"/>
  <c r="S4" i="2"/>
  <c r="S10" i="2" s="1"/>
  <c r="Q22" i="2"/>
  <c r="Q9" i="2"/>
  <c r="Q23" i="2" s="1"/>
  <c r="I9" i="2"/>
  <c r="I24" i="2"/>
  <c r="P14" i="2"/>
  <c r="P26" i="2" s="1"/>
  <c r="N14" i="2"/>
  <c r="N23" i="2"/>
  <c r="O14" i="2"/>
  <c r="O23" i="2"/>
  <c r="M14" i="2"/>
  <c r="M23" i="2"/>
  <c r="H22" i="2"/>
  <c r="G22" i="2"/>
  <c r="B9" i="2"/>
  <c r="B23" i="2" s="1"/>
  <c r="F9" i="2"/>
  <c r="F23" i="2" s="1"/>
  <c r="F22" i="2"/>
  <c r="H9" i="2"/>
  <c r="H23" i="2" s="1"/>
  <c r="C9" i="2"/>
  <c r="C14" i="2" s="1"/>
  <c r="E9" i="2"/>
  <c r="E14" i="2" s="1"/>
  <c r="G9" i="2"/>
  <c r="G23" i="2" s="1"/>
  <c r="D9" i="2"/>
  <c r="K26" i="2" l="1"/>
  <c r="K16" i="2"/>
  <c r="K18" i="2" s="1"/>
  <c r="J14" i="2"/>
  <c r="J23" i="2"/>
  <c r="R9" i="2"/>
  <c r="R14" i="2" s="1"/>
  <c r="R26" i="2" s="1"/>
  <c r="R22" i="2"/>
  <c r="S22" i="2"/>
  <c r="S13" i="2"/>
  <c r="V11" i="2"/>
  <c r="U8" i="2"/>
  <c r="U25" i="2" s="1"/>
  <c r="S24" i="2"/>
  <c r="S9" i="2"/>
  <c r="T7" i="2"/>
  <c r="T4" i="2"/>
  <c r="T10" i="2" s="1"/>
  <c r="Q14" i="2"/>
  <c r="Q26" i="2" s="1"/>
  <c r="I23" i="2"/>
  <c r="I14" i="2"/>
  <c r="P16" i="2"/>
  <c r="P18" i="2" s="1"/>
  <c r="P27" i="2" s="1"/>
  <c r="O26" i="2"/>
  <c r="O16" i="2"/>
  <c r="O18" i="2" s="1"/>
  <c r="N16" i="2"/>
  <c r="N18" i="2" s="1"/>
  <c r="N26" i="2"/>
  <c r="M16" i="2"/>
  <c r="M18" i="2" s="1"/>
  <c r="M26" i="2"/>
  <c r="B14" i="2"/>
  <c r="B26" i="2" s="1"/>
  <c r="H14" i="2"/>
  <c r="H26" i="2" s="1"/>
  <c r="F14" i="2"/>
  <c r="F16" i="2" s="1"/>
  <c r="F18" i="2" s="1"/>
  <c r="C23" i="2"/>
  <c r="E23" i="2"/>
  <c r="G14" i="2"/>
  <c r="G26" i="2" s="1"/>
  <c r="F26" i="2"/>
  <c r="C26" i="2"/>
  <c r="C16" i="2"/>
  <c r="C18" i="2" s="1"/>
  <c r="D14" i="2"/>
  <c r="D23" i="2"/>
  <c r="E26" i="2"/>
  <c r="E16" i="2"/>
  <c r="E18" i="2" s="1"/>
  <c r="K27" i="2" l="1"/>
  <c r="K20" i="2"/>
  <c r="J16" i="2"/>
  <c r="J18" i="2" s="1"/>
  <c r="J26" i="2"/>
  <c r="R23" i="2"/>
  <c r="T22" i="2"/>
  <c r="T13" i="2"/>
  <c r="W11" i="2"/>
  <c r="Q16" i="2"/>
  <c r="V8" i="2"/>
  <c r="V25" i="2" s="1"/>
  <c r="S14" i="2"/>
  <c r="S23" i="2"/>
  <c r="T24" i="2"/>
  <c r="T9" i="2"/>
  <c r="U7" i="2"/>
  <c r="U4" i="2"/>
  <c r="U10" i="2" s="1"/>
  <c r="I16" i="2"/>
  <c r="I26" i="2"/>
  <c r="P20" i="2"/>
  <c r="O27" i="2"/>
  <c r="O20" i="2"/>
  <c r="M27" i="2"/>
  <c r="M20" i="2"/>
  <c r="N27" i="2"/>
  <c r="N20" i="2"/>
  <c r="H16" i="2"/>
  <c r="H18" i="2" s="1"/>
  <c r="H27" i="2" s="1"/>
  <c r="B16" i="2"/>
  <c r="B18" i="2" s="1"/>
  <c r="B27" i="2" s="1"/>
  <c r="G16" i="2"/>
  <c r="G18" i="2" s="1"/>
  <c r="G27" i="2" s="1"/>
  <c r="F27" i="2"/>
  <c r="F20" i="2"/>
  <c r="D16" i="2"/>
  <c r="D18" i="2" s="1"/>
  <c r="D26" i="2"/>
  <c r="C27" i="2"/>
  <c r="C20" i="2"/>
  <c r="E27" i="2"/>
  <c r="E20" i="2"/>
  <c r="J20" i="2" l="1"/>
  <c r="J27" i="2"/>
  <c r="I18" i="2"/>
  <c r="I27" i="2" s="1"/>
  <c r="U22" i="2"/>
  <c r="U13" i="2"/>
  <c r="Q17" i="2"/>
  <c r="Q18" i="2" s="1"/>
  <c r="Q37" i="2" s="1"/>
  <c r="R15" i="2" s="1"/>
  <c r="R16" i="2" s="1"/>
  <c r="R17" i="2" s="1"/>
  <c r="R18" i="2" s="1"/>
  <c r="R37" i="2" s="1"/>
  <c r="S15" i="2" s="1"/>
  <c r="S16" i="2" s="1"/>
  <c r="W8" i="2"/>
  <c r="W25" i="2" s="1"/>
  <c r="S26" i="2"/>
  <c r="U24" i="2"/>
  <c r="U9" i="2"/>
  <c r="T14" i="2"/>
  <c r="T23" i="2"/>
  <c r="V7" i="2"/>
  <c r="V4" i="2"/>
  <c r="B20" i="2"/>
  <c r="H20" i="2"/>
  <c r="G20" i="2"/>
  <c r="D27" i="2"/>
  <c r="D20" i="2"/>
  <c r="R20" i="2" l="1"/>
  <c r="R27" i="2"/>
  <c r="I20" i="2"/>
  <c r="V10" i="2"/>
  <c r="V13" i="2" s="1"/>
  <c r="S17" i="2"/>
  <c r="S18" i="2" s="1"/>
  <c r="S37" i="2" s="1"/>
  <c r="Q27" i="2"/>
  <c r="Q20" i="2"/>
  <c r="V22" i="2"/>
  <c r="V24" i="2"/>
  <c r="V9" i="2"/>
  <c r="U14" i="2"/>
  <c r="U23" i="2"/>
  <c r="W7" i="2"/>
  <c r="W4" i="2"/>
  <c r="W10" i="2" s="1"/>
  <c r="T26" i="2"/>
  <c r="T15" i="2" l="1"/>
  <c r="T16" i="2" s="1"/>
  <c r="T17" i="2" s="1"/>
  <c r="T18" i="2" s="1"/>
  <c r="T37" i="2" s="1"/>
  <c r="W22" i="2"/>
  <c r="W13" i="2"/>
  <c r="S27" i="2"/>
  <c r="S20" i="2"/>
  <c r="W9" i="2"/>
  <c r="W24" i="2"/>
  <c r="U26" i="2"/>
  <c r="V14" i="2"/>
  <c r="V23" i="2"/>
  <c r="U15" i="2" l="1"/>
  <c r="U16" i="2" s="1"/>
  <c r="U17" i="2" s="1"/>
  <c r="U18" i="2" s="1"/>
  <c r="U37" i="2" s="1"/>
  <c r="T20" i="2"/>
  <c r="T27" i="2"/>
  <c r="V26" i="2"/>
  <c r="W14" i="2"/>
  <c r="W23" i="2"/>
  <c r="V15" i="2" l="1"/>
  <c r="V16" i="2" s="1"/>
  <c r="V17" i="2" s="1"/>
  <c r="V18" i="2" s="1"/>
  <c r="U20" i="2"/>
  <c r="U27" i="2"/>
  <c r="W26" i="2"/>
  <c r="V27" i="2" l="1"/>
  <c r="V37" i="2"/>
  <c r="V20" i="2"/>
  <c r="W15" i="2" l="1"/>
  <c r="W16" i="2" s="1"/>
  <c r="W17" i="2" s="1"/>
  <c r="W18" i="2" s="1"/>
  <c r="X18" i="2" s="1"/>
  <c r="Y18" i="2" s="1"/>
  <c r="Z18" i="2" s="1"/>
  <c r="AA18" i="2" s="1"/>
  <c r="AB18" i="2" s="1"/>
  <c r="AC18" i="2" s="1"/>
  <c r="AD18" i="2" s="1"/>
  <c r="AE18" i="2" s="1"/>
  <c r="AF18" i="2" s="1"/>
  <c r="AG18" i="2" s="1"/>
  <c r="AH18" i="2" s="1"/>
  <c r="AI18" i="2" s="1"/>
  <c r="AJ18" i="2" s="1"/>
  <c r="AK18" i="2" s="1"/>
  <c r="AL18" i="2" s="1"/>
  <c r="AM18" i="2" s="1"/>
  <c r="AN18" i="2" s="1"/>
  <c r="AO18" i="2" s="1"/>
  <c r="AP18" i="2" s="1"/>
  <c r="AQ18" i="2" s="1"/>
  <c r="AR18" i="2" s="1"/>
  <c r="AS18" i="2" s="1"/>
  <c r="AT18" i="2" s="1"/>
  <c r="AU18" i="2" s="1"/>
  <c r="AV18" i="2" s="1"/>
  <c r="AW18" i="2" s="1"/>
  <c r="AX18" i="2" s="1"/>
  <c r="AY18" i="2" s="1"/>
  <c r="AZ18" i="2" s="1"/>
  <c r="BA18" i="2" s="1"/>
  <c r="BB18" i="2" s="1"/>
  <c r="BC18" i="2" s="1"/>
  <c r="BD18" i="2" s="1"/>
  <c r="BE18" i="2" s="1"/>
  <c r="BF18" i="2" s="1"/>
  <c r="BG18" i="2" s="1"/>
  <c r="BH18" i="2" s="1"/>
  <c r="BI18" i="2" s="1"/>
  <c r="BJ18" i="2" s="1"/>
  <c r="BK18" i="2" s="1"/>
  <c r="BL18" i="2" s="1"/>
  <c r="BM18" i="2" s="1"/>
  <c r="BN18" i="2" s="1"/>
  <c r="BO18" i="2" s="1"/>
  <c r="BP18" i="2" s="1"/>
  <c r="BQ18" i="2" s="1"/>
  <c r="BR18" i="2" s="1"/>
  <c r="BS18" i="2" s="1"/>
  <c r="BT18" i="2" s="1"/>
  <c r="BU18" i="2" s="1"/>
  <c r="BV18" i="2" s="1"/>
  <c r="BW18" i="2" s="1"/>
  <c r="BX18" i="2" s="1"/>
  <c r="BY18" i="2" s="1"/>
  <c r="BZ18" i="2" s="1"/>
  <c r="CA18" i="2" s="1"/>
  <c r="CB18" i="2" s="1"/>
  <c r="CC18" i="2" s="1"/>
  <c r="CD18" i="2" s="1"/>
  <c r="CE18" i="2" s="1"/>
  <c r="CF18" i="2" s="1"/>
  <c r="CG18" i="2" s="1"/>
  <c r="CH18" i="2" s="1"/>
  <c r="CI18" i="2" s="1"/>
  <c r="CJ18" i="2" s="1"/>
  <c r="CK18" i="2" s="1"/>
  <c r="CL18" i="2" s="1"/>
  <c r="CM18" i="2" s="1"/>
  <c r="CN18" i="2" s="1"/>
  <c r="CO18" i="2" s="1"/>
  <c r="CP18" i="2" s="1"/>
  <c r="CQ18" i="2" s="1"/>
  <c r="CR18" i="2" s="1"/>
  <c r="CS18" i="2" s="1"/>
  <c r="CT18" i="2" s="1"/>
  <c r="CU18" i="2" s="1"/>
  <c r="CV18" i="2" s="1"/>
  <c r="CW18" i="2" s="1"/>
  <c r="CX18" i="2" s="1"/>
  <c r="CY18" i="2" s="1"/>
  <c r="CZ18" i="2" s="1"/>
  <c r="Z4" i="2" s="1"/>
  <c r="Z6" i="2" s="1"/>
  <c r="Z7" i="2" s="1"/>
  <c r="W37" i="2" l="1"/>
  <c r="W20" i="2"/>
  <c r="W2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<sst xmlns="http://schemas.openxmlformats.org/spreadsheetml/2006/main" count="93" uniqueCount="88">
  <si>
    <t>ticket</t>
  </si>
  <si>
    <t>price</t>
  </si>
  <si>
    <t>shares</t>
  </si>
  <si>
    <t>mc</t>
  </si>
  <si>
    <t>cash</t>
  </si>
  <si>
    <t>debt</t>
  </si>
  <si>
    <t xml:space="preserve"> ev</t>
  </si>
  <si>
    <t>Subscription services</t>
  </si>
  <si>
    <t>Professional services</t>
  </si>
  <si>
    <t>Total Revenue</t>
  </si>
  <si>
    <t>Q3 2023</t>
  </si>
  <si>
    <t xml:space="preserve">Cost of Subscription </t>
  </si>
  <si>
    <t>Cost of professional</t>
  </si>
  <si>
    <t>Subscription Gross Profit</t>
  </si>
  <si>
    <t>Professional Gross Profit</t>
  </si>
  <si>
    <t>Total Gross Profit</t>
  </si>
  <si>
    <t>R&amp;D</t>
  </si>
  <si>
    <t>S&amp;M</t>
  </si>
  <si>
    <t>G&amp;A</t>
  </si>
  <si>
    <t>OpEx</t>
  </si>
  <si>
    <t>Operating Income</t>
  </si>
  <si>
    <t>Other Income</t>
  </si>
  <si>
    <t>Pretax Income</t>
  </si>
  <si>
    <t>Taxes</t>
  </si>
  <si>
    <t>Net Income</t>
  </si>
  <si>
    <t>Shares</t>
  </si>
  <si>
    <t>EPS</t>
  </si>
  <si>
    <t>(millions USD)</t>
  </si>
  <si>
    <t>Gross Margin %</t>
  </si>
  <si>
    <t>Operating Margin %</t>
  </si>
  <si>
    <t>Net Margin%</t>
  </si>
  <si>
    <t>Gross Margin Subs %</t>
  </si>
  <si>
    <t>Gross Margin Professional %</t>
  </si>
  <si>
    <t>CFFO</t>
  </si>
  <si>
    <t>CAPEX</t>
  </si>
  <si>
    <t>FCF</t>
  </si>
  <si>
    <t>balance sheet</t>
  </si>
  <si>
    <t>A/R</t>
  </si>
  <si>
    <t>Prepaid expenses</t>
  </si>
  <si>
    <t>PP&amp;E</t>
  </si>
  <si>
    <t>Deferred costs</t>
  </si>
  <si>
    <t>lease assets</t>
  </si>
  <si>
    <t>Intangibles &amp; Goodwill</t>
  </si>
  <si>
    <t>Deferred taxes</t>
  </si>
  <si>
    <t>other assets</t>
  </si>
  <si>
    <t>Total assets</t>
  </si>
  <si>
    <t>A/P</t>
  </si>
  <si>
    <t>Accrued compensation</t>
  </si>
  <si>
    <t>Accrued expenses</t>
  </si>
  <si>
    <t>Income taxes</t>
  </si>
  <si>
    <t>Deferred revenue</t>
  </si>
  <si>
    <t>Lease liabilities</t>
  </si>
  <si>
    <t>other liabilities</t>
  </si>
  <si>
    <t>Total Liabilities</t>
  </si>
  <si>
    <t>S/E</t>
  </si>
  <si>
    <t>Info/news:</t>
  </si>
  <si>
    <t>Veeva is the leading provider of industry cloud solutions for the global life sciences industry</t>
  </si>
  <si>
    <t>cloud software, data, analytics, professional services, and business consulting</t>
  </si>
  <si>
    <t>Revenue by geography</t>
  </si>
  <si>
    <t>NA</t>
  </si>
  <si>
    <t>Europe</t>
  </si>
  <si>
    <t>Asia Pacific</t>
  </si>
  <si>
    <t>ME,A&amp;LA</t>
  </si>
  <si>
    <t>Number of costumers</t>
  </si>
  <si>
    <t>Comercial solutions</t>
  </si>
  <si>
    <t>computing infrastructure provided by third parties, including Salesforce, Inc. and Amazon Web Services</t>
  </si>
  <si>
    <t>Clients</t>
  </si>
  <si>
    <t>IQVIA Holdings Inc</t>
  </si>
  <si>
    <t>Main competitor:</t>
  </si>
  <si>
    <t>Revenue per client</t>
  </si>
  <si>
    <t>Q2 2023</t>
  </si>
  <si>
    <t>Q1 2023</t>
  </si>
  <si>
    <t>Q4 2023</t>
  </si>
  <si>
    <t>Q1 2024</t>
  </si>
  <si>
    <t>Q2 2024</t>
  </si>
  <si>
    <t>Q3 2024</t>
  </si>
  <si>
    <t>Q4 2024</t>
  </si>
  <si>
    <t>Discount</t>
  </si>
  <si>
    <t>maturity</t>
  </si>
  <si>
    <t>ev</t>
  </si>
  <si>
    <t>npv</t>
  </si>
  <si>
    <t>net cash</t>
  </si>
  <si>
    <t>Q1 2025</t>
  </si>
  <si>
    <t>Revenue y/y</t>
  </si>
  <si>
    <t>Q2 2025</t>
  </si>
  <si>
    <t>FCF TTM</t>
  </si>
  <si>
    <t>ROIC</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</si>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</sst>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_-[$$-409]* #,##0.00_ ;_-[$$-409]* \-#,##0.00\ ;_-[$$-409]* &quot;-&quot;??_ ;_-@_ "/>
    <numFmt numFmtId="166" formatCode="0.0%"/>
    <numFmt numFmtId="167" formatCode="[$$-409]#,##0.00"/>
  </numFmts>
  <fonts count="4"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2" fillId="0" borderId="0" xfId="0" applyFont="1"/>
    <xf numFmtId="0" fontId="3" fillId="0" borderId="0" xfId="0" applyFont="1"/>
    <xf numFmtId="3" fontId="3" fillId="0" borderId="0" xfId="0" applyNumberFormat="1" applyFont="1"/>
    <xf numFmtId="9" fontId="3" fillId="0" borderId="0" xfId="0" applyNumberFormat="1" applyFont="1"/>
    <xf numFmtId="3" fontId="2" fillId="0" borderId="0" xfId="0" applyNumberFormat="1" applyFont="1"/>
    <xf numFmtId="165" fontId="3" fillId="0" borderId="0" xfId="0" applyNumberFormat="1" applyFont="1"/>
    <xf numFmtId="167" fontId="3" fillId="0" borderId="0" xfId="0" applyNumberFormat="1" applyFont="1"/>
    <xf numFmtId="166" fontId="2" fillId="0" borderId="0" xfId="1" applyNumberFormat="1" applyFont="1"/>
    <xf numFmtId="166" fontId="3" fillId="0" borderId="0" xfId="1" applyNumberFormat="1" applyFont="1"/>
    <xf numFmtId="164" fontId="3" fillId="0" borderId="0" xfId="0" applyNumberFormat="1" applyFont="1"/>
    <xf numFmtId="2" fontId="3" fillId="0" borderId="0" xfId="0" applyNumberFormat="1" applyFont="1"/>
    <xf numFmtId="1" fontId="3" fillId="0" borderId="0" xfId="0" applyNumberFormat="1" applyFont="1"/>
    <xf numFmtId="166" fontId="3"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10</xdr:col>
      <xdr:colOff>7620</xdr:colOff>
      <xdr:row>27</xdr:row>
      <xdr:rowOff>45720</xdr:rowOff>
    </xdr:to>
    <xdr:cxnSp macro="">
      <xdr:nvCxnSpPr>
        <xdr:cNvPr id="3" name="Straight Connector 2">
          <a:extLst>
            <a:ext uri="{FF2B5EF4-FFF2-40B4-BE49-F238E27FC236}">
              <a16:creationId xmlns:a16="http://schemas.microsoft.com/office/drawing/2014/main" id="{58630522-411F-56A5-EF1C-815C9A1924F7}"/>
            </a:ext>
          </a:extLst>
        </xdr:cNvPr>
        <xdr:cNvCxnSpPr/>
      </xdr:nvCxnSpPr>
      <xdr:spPr>
        <a:xfrm>
          <a:off x="7277100" y="0"/>
          <a:ext cx="7620" cy="5349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0</xdr:row>
      <xdr:rowOff>22860</xdr:rowOff>
    </xdr:from>
    <xdr:to>
      <xdr:col>16</xdr:col>
      <xdr:colOff>0</xdr:colOff>
      <xdr:row>34</xdr:row>
      <xdr:rowOff>83820</xdr:rowOff>
    </xdr:to>
    <xdr:cxnSp macro="">
      <xdr:nvCxnSpPr>
        <xdr:cNvPr id="5" name="Straight Connector 4">
          <a:extLst>
            <a:ext uri="{FF2B5EF4-FFF2-40B4-BE49-F238E27FC236}">
              <a16:creationId xmlns:a16="http://schemas.microsoft.com/office/drawing/2014/main" id="{16519085-7E58-30FB-88DB-F82EFCC1471C}"/>
            </a:ext>
          </a:extLst>
        </xdr:cNvPr>
        <xdr:cNvCxnSpPr/>
      </xdr:nvCxnSpPr>
      <xdr:spPr>
        <a:xfrm>
          <a:off x="9715500" y="22860"/>
          <a:ext cx="0" cy="6461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en-GB</v>
    <v>a259jc</v>
    <v>268435456</v>
    <v>1</v>
    <v>Powered by Refinitiv</v>
    <v>0</v>
    <v>VEEVA SYSTEMS INC. (XNYS:VEEV)</v>
    <v>2</v>
    <v>3</v>
    <v>Finance</v>
    <v>4</v>
    <v>236.9</v>
    <v>162.72</v>
    <v>0.80989999999999995</v>
    <v>-2.7450000000000001</v>
    <v>4.241E-3</v>
    <v>-1.3202999999999999E-2</v>
    <v>0.87</v>
    <v>USD</v>
    <v>Veeva Systems Inc. is a provider of cloud solutions for the global life sciences industry. The Company offers span cloud software, data, and business consulting and is designed to meet the needs of its customers and their strategic business functions from research and development (R&amp;D) through commercialization. The Company’s three product categories: Veeva Development Cloud, Veeva Commercial Cloud, and Veeva Data Cloud. Veeva Development Cloud includes application suites for the clinical, regulatory, and safety functions of life sciences companies, all built on its Veeva Vault platform. Veeva Vault Clinical advances clinical trial execution by providing a complete and connected technology ecosystem. Veeva Commercial Cloud is a product category comprised of software and analytics solutions. Its software offerings include Veeva CRM, Veeva Vault PromoMats, Veeva Vault Medical, and Veeva Crossix. Its data offerings include Veeva OpenData, Veeva Link, and Veeva Compass.</v>
    <v>7172</v>
    <v>New York Stock Exchange</v>
    <v>XNYS</v>
    <v>XNYS</v>
    <v>4280 Hacienda Drive, PLEASANTON, CA, 94588 US</v>
    <v>210.07</v>
    <v>Healthcare Equipment &amp; Supplies</v>
    <v>Stock</v>
    <v>45560.934712140624</v>
    <v>0</v>
    <v>204.92</v>
    <v>33223148077</v>
    <v>VEEVA SYSTEMS INC.</v>
    <v>VEEVA SYSTEMS INC.</v>
    <v>208.99</v>
    <v>52.653700000000001</v>
    <v>207.91</v>
    <v>205.16499999999999</v>
    <v>206</v>
    <v>161933800</v>
    <v>VEEV</v>
    <v>VEEVA SYSTEMS INC. (XNYS:VEEV)</v>
    <v>787800</v>
    <v>1060008</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DD60-2871-4B43-AA63-17134D26C112}">
  <dimension ref="A1:J29"/>
  <sheetViews>
    <sheetView workbookViewId="0">
      <selection activeCell="F14" sqref="F14"/>
    </sheetView>
  </sheetViews>
  <sheetFormatPr defaultRowHeight="13.2" x14ac:dyDescent="0.25"/>
  <cols>
    <col min="1" max="1" width="8.88671875" style="2"/>
    <col min="2" max="2" width="11.109375" style="2" bestFit="1" customWidth="1"/>
    <col min="3" max="6" width="8.88671875" style="2"/>
    <col min="7" max="7" width="21.5546875" style="2" bestFit="1" customWidth="1"/>
    <col min="8" max="16384" width="8.88671875" style="2"/>
  </cols>
  <sheetData>
    <row r="1" spans="1:3" x14ac:dyDescent="0.25">
      <c r="A1" s="2" t="s">
        <v>0</v>
      </c>
      <c r="B1" s="2" t="e" vm="1">
        <v>#VALUE!</v>
      </c>
    </row>
    <row r="2" spans="1:3" x14ac:dyDescent="0.25">
      <c r="A2" s="2" t="s">
        <v>1</v>
      </c>
      <c r="B2" s="10" cm="1">
        <f t="array" ref="B2">_FV(B1,"price")</f>
        <v>205.16499999999999</v>
      </c>
    </row>
    <row r="3" spans="1:3" x14ac:dyDescent="0.25">
      <c r="A3" s="2" t="s">
        <v>2</v>
      </c>
      <c r="B3" s="3">
        <v>161.93380999999999</v>
      </c>
    </row>
    <row r="4" spans="1:3" x14ac:dyDescent="0.25">
      <c r="A4" s="2" t="s">
        <v>3</v>
      </c>
      <c r="B4" s="3">
        <f>B2*B3</f>
        <v>33223.150128649999</v>
      </c>
    </row>
    <row r="5" spans="1:3" x14ac:dyDescent="0.25">
      <c r="A5" s="2" t="s">
        <v>4</v>
      </c>
      <c r="B5" s="3">
        <f>1165.754+3719.324</f>
        <v>4885.0779999999995</v>
      </c>
      <c r="C5" s="2" t="s">
        <v>84</v>
      </c>
    </row>
    <row r="6" spans="1:3" x14ac:dyDescent="0.25">
      <c r="A6" s="2" t="s">
        <v>5</v>
      </c>
      <c r="B6" s="3"/>
      <c r="C6" s="2" t="s">
        <v>84</v>
      </c>
    </row>
    <row r="7" spans="1:3" x14ac:dyDescent="0.25">
      <c r="A7" s="2" t="s">
        <v>6</v>
      </c>
      <c r="B7" s="3">
        <f>B4-B5</f>
        <v>28338.072128649997</v>
      </c>
    </row>
    <row r="9" spans="1:3" x14ac:dyDescent="0.25">
      <c r="A9" s="1" t="s">
        <v>55</v>
      </c>
    </row>
    <row r="10" spans="1:3" x14ac:dyDescent="0.25">
      <c r="A10" s="2" t="s">
        <v>56</v>
      </c>
    </row>
    <row r="11" spans="1:3" x14ac:dyDescent="0.25">
      <c r="A11" s="2" t="s">
        <v>57</v>
      </c>
    </row>
    <row r="12" spans="1:3" x14ac:dyDescent="0.25">
      <c r="A12" s="2" t="s">
        <v>65</v>
      </c>
    </row>
    <row r="14" spans="1:3" x14ac:dyDescent="0.25">
      <c r="A14" s="1" t="s">
        <v>68</v>
      </c>
    </row>
    <row r="15" spans="1:3" x14ac:dyDescent="0.25">
      <c r="A15" s="2" t="s">
        <v>67</v>
      </c>
    </row>
    <row r="19" spans="7:10" x14ac:dyDescent="0.25">
      <c r="G19" s="2" t="s">
        <v>58</v>
      </c>
    </row>
    <row r="20" spans="7:10" x14ac:dyDescent="0.25">
      <c r="G20" s="2" t="s">
        <v>59</v>
      </c>
      <c r="H20" s="11">
        <v>362.38099999999997</v>
      </c>
      <c r="I20" s="9">
        <f>H20/$H$24</f>
        <v>0.58779896351205574</v>
      </c>
    </row>
    <row r="21" spans="7:10" x14ac:dyDescent="0.25">
      <c r="G21" s="2" t="s">
        <v>60</v>
      </c>
      <c r="H21" s="11">
        <v>172.47300000000001</v>
      </c>
      <c r="I21" s="9">
        <f t="shared" ref="I21:I23" si="0">H21/$H$24</f>
        <v>0.2797592882458374</v>
      </c>
    </row>
    <row r="22" spans="7:10" x14ac:dyDescent="0.25">
      <c r="G22" s="2" t="s">
        <v>61</v>
      </c>
      <c r="H22" s="11">
        <v>65.180000000000007</v>
      </c>
      <c r="I22" s="9">
        <f t="shared" si="0"/>
        <v>0.10572501439566588</v>
      </c>
    </row>
    <row r="23" spans="7:10" x14ac:dyDescent="0.25">
      <c r="G23" s="2" t="s">
        <v>62</v>
      </c>
      <c r="H23" s="11">
        <v>16.471</v>
      </c>
      <c r="I23" s="9">
        <f t="shared" si="0"/>
        <v>2.671673384644082E-2</v>
      </c>
    </row>
    <row r="24" spans="7:10" x14ac:dyDescent="0.25">
      <c r="H24" s="2">
        <f>SUM(H20:H23)</f>
        <v>616.50500000000011</v>
      </c>
    </row>
    <row r="26" spans="7:10" x14ac:dyDescent="0.25">
      <c r="G26" s="2" t="s">
        <v>63</v>
      </c>
      <c r="H26" s="12">
        <v>2021</v>
      </c>
      <c r="I26" s="12">
        <v>2022</v>
      </c>
      <c r="J26" s="12">
        <v>2023</v>
      </c>
    </row>
    <row r="27" spans="7:10" x14ac:dyDescent="0.25">
      <c r="G27" s="2" t="s">
        <v>64</v>
      </c>
      <c r="H27" s="12">
        <v>572</v>
      </c>
      <c r="I27" s="12">
        <v>653</v>
      </c>
      <c r="J27" s="12">
        <v>684</v>
      </c>
    </row>
    <row r="28" spans="7:10" x14ac:dyDescent="0.25">
      <c r="G28" s="2" t="s">
        <v>16</v>
      </c>
      <c r="H28" s="12">
        <v>664</v>
      </c>
      <c r="I28" s="12">
        <v>860</v>
      </c>
      <c r="J28" s="12">
        <v>1025</v>
      </c>
    </row>
    <row r="29" spans="7:10" x14ac:dyDescent="0.25">
      <c r="H29" s="12">
        <f>H27+H28</f>
        <v>1236</v>
      </c>
      <c r="I29" s="12">
        <f t="shared" ref="I29:J29" si="1">I27+I28</f>
        <v>1513</v>
      </c>
      <c r="J29" s="12">
        <f t="shared" si="1"/>
        <v>1709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E213-C4FA-428A-80F0-7DD517B308E0}">
  <dimension ref="A1:CZ60"/>
  <sheetViews>
    <sheetView tabSelected="1" zoomScale="90" zoomScaleNormal="90" workbookViewId="0">
      <pane xSplit="1" ySplit="1" topLeftCell="B2" activePane="bottomRight" state="frozen"/>
      <selection pane="topRight" activeCell="B1" sqref="B1"/>
      <selection pane="bottomLeft" activeCell="A2" sqref="A2"/>
      <selection pane="bottomRight" activeCell="P1" sqref="P1"/>
    </sheetView>
  </sheetViews>
  <sheetFormatPr defaultRowHeight="13.2" x14ac:dyDescent="0.25"/>
  <cols>
    <col min="1" max="1" width="26.109375" style="2" bestFit="1" customWidth="1"/>
    <col min="2" max="10" width="9" style="2" bestFit="1" customWidth="1"/>
    <col min="11" max="12" width="8.88671875" style="2"/>
    <col min="13" max="21" width="9" style="2" bestFit="1" customWidth="1"/>
    <col min="22" max="23" width="9.88671875" style="2" bestFit="1" customWidth="1"/>
    <col min="24" max="25" width="9" style="2" bestFit="1" customWidth="1"/>
    <col min="26" max="26" width="12.21875" style="2" bestFit="1" customWidth="1"/>
    <col min="27" max="104" width="9" style="2" bestFit="1" customWidth="1"/>
    <col min="105" max="16384" width="8.88671875" style="2"/>
  </cols>
  <sheetData>
    <row r="1" spans="1:28" x14ac:dyDescent="0.25">
      <c r="A1" s="1" t="s">
        <v>27</v>
      </c>
      <c r="B1" s="1" t="s">
        <v>71</v>
      </c>
      <c r="C1" s="1" t="s">
        <v>70</v>
      </c>
      <c r="D1" s="1" t="s">
        <v>10</v>
      </c>
      <c r="E1" s="1" t="s">
        <v>72</v>
      </c>
      <c r="F1" s="1" t="s">
        <v>73</v>
      </c>
      <c r="G1" s="1" t="s">
        <v>74</v>
      </c>
      <c r="H1" s="1" t="s">
        <v>75</v>
      </c>
      <c r="I1" s="1" t="s">
        <v>76</v>
      </c>
      <c r="J1" s="1" t="s">
        <v>82</v>
      </c>
      <c r="K1" s="1" t="s">
        <v>84</v>
      </c>
      <c r="L1" s="1"/>
      <c r="M1" s="1">
        <v>2020</v>
      </c>
      <c r="N1" s="1">
        <f>M1+1</f>
        <v>2021</v>
      </c>
      <c r="O1" s="1">
        <f t="shared" ref="O1:W1" si="0">N1+1</f>
        <v>2022</v>
      </c>
      <c r="P1" s="1">
        <f t="shared" si="0"/>
        <v>2023</v>
      </c>
      <c r="Q1" s="1">
        <f t="shared" si="0"/>
        <v>2024</v>
      </c>
      <c r="R1" s="1">
        <f t="shared" si="0"/>
        <v>2025</v>
      </c>
      <c r="S1" s="1">
        <f t="shared" si="0"/>
        <v>2026</v>
      </c>
      <c r="T1" s="1">
        <f t="shared" si="0"/>
        <v>2027</v>
      </c>
      <c r="U1" s="1">
        <f t="shared" si="0"/>
        <v>2028</v>
      </c>
      <c r="V1" s="1">
        <f t="shared" si="0"/>
        <v>2029</v>
      </c>
      <c r="W1" s="1">
        <f t="shared" si="0"/>
        <v>2030</v>
      </c>
    </row>
    <row r="2" spans="1:28" x14ac:dyDescent="0.25">
      <c r="A2" s="2" t="s">
        <v>7</v>
      </c>
      <c r="B2" s="3">
        <v>402.63200000000001</v>
      </c>
      <c r="C2" s="3">
        <v>428.649</v>
      </c>
      <c r="D2" s="3">
        <v>441.56900000000002</v>
      </c>
      <c r="E2" s="3">
        <f>P2-SUM(B2:D2)</f>
        <v>460.15200000000004</v>
      </c>
      <c r="F2" s="3">
        <v>414.54599999999999</v>
      </c>
      <c r="G2" s="3">
        <v>470.637</v>
      </c>
      <c r="H2" s="3">
        <v>494.91199999999998</v>
      </c>
      <c r="I2" s="3">
        <v>521.49800000000005</v>
      </c>
      <c r="J2" s="3">
        <v>533.95500000000004</v>
      </c>
      <c r="K2" s="3">
        <v>561.27700000000004</v>
      </c>
      <c r="L2" s="3"/>
      <c r="M2" s="3"/>
      <c r="N2" s="3">
        <v>1179.4860000000001</v>
      </c>
      <c r="O2" s="3">
        <v>1483.9760000000001</v>
      </c>
      <c r="P2" s="3">
        <v>1733.002</v>
      </c>
      <c r="Q2" s="3">
        <f>P2*1.16</f>
        <v>2010.2823199999998</v>
      </c>
      <c r="R2" s="3">
        <f>Q2*1.17</f>
        <v>2352.0303143999995</v>
      </c>
      <c r="S2" s="3">
        <f t="shared" ref="S2:W2" si="1">R2*1.15</f>
        <v>2704.8348615599994</v>
      </c>
      <c r="T2" s="3">
        <f t="shared" si="1"/>
        <v>3110.5600907939988</v>
      </c>
      <c r="U2" s="3">
        <f t="shared" si="1"/>
        <v>3577.1441044130984</v>
      </c>
      <c r="V2" s="3">
        <f t="shared" si="1"/>
        <v>4113.7157200750626</v>
      </c>
      <c r="W2" s="3">
        <f t="shared" si="1"/>
        <v>4730.7730780863212</v>
      </c>
      <c r="Y2" s="2" t="s">
        <v>77</v>
      </c>
      <c r="Z2" s="13">
        <v>7.4999999999999997E-2</v>
      </c>
      <c r="AA2" s="2" t="s">
        <v>86</v>
      </c>
      <c r="AB2" s="4">
        <v>0.05</v>
      </c>
    </row>
    <row r="3" spans="1:28" x14ac:dyDescent="0.25">
      <c r="A3" s="2" t="s">
        <v>8</v>
      </c>
      <c r="B3" s="3">
        <v>102.47</v>
      </c>
      <c r="C3" s="3">
        <v>105.569</v>
      </c>
      <c r="D3" s="3">
        <v>110.782</v>
      </c>
      <c r="E3" s="3">
        <f t="shared" ref="E3" si="2">P3-SUM(B3:D3)</f>
        <v>103.23700000000002</v>
      </c>
      <c r="F3" s="3">
        <v>111.779</v>
      </c>
      <c r="G3" s="3">
        <v>119.58799999999999</v>
      </c>
      <c r="H3" s="3">
        <v>121.593</v>
      </c>
      <c r="I3" s="3">
        <v>109.12</v>
      </c>
      <c r="J3" s="3">
        <v>116.39</v>
      </c>
      <c r="K3" s="3">
        <v>114.904</v>
      </c>
      <c r="L3" s="3"/>
      <c r="M3" s="3"/>
      <c r="N3" s="3">
        <v>285.58300000000003</v>
      </c>
      <c r="O3" s="3">
        <v>366.80099999999999</v>
      </c>
      <c r="P3" s="3">
        <v>422.05799999999999</v>
      </c>
      <c r="Q3" s="3">
        <f>P3*1.09</f>
        <v>460.04322000000002</v>
      </c>
      <c r="R3" s="3">
        <f>Q3*1.09</f>
        <v>501.44710980000008</v>
      </c>
      <c r="S3" s="3">
        <f>R3*1.11</f>
        <v>556.60629187800009</v>
      </c>
      <c r="T3" s="3">
        <f>S3*1.13</f>
        <v>628.96510982213999</v>
      </c>
      <c r="U3" s="3">
        <f t="shared" ref="U3:W3" si="3">T3*1.13</f>
        <v>710.7305740990181</v>
      </c>
      <c r="V3" s="3">
        <f t="shared" si="3"/>
        <v>803.12554873189038</v>
      </c>
      <c r="W3" s="3">
        <f t="shared" si="3"/>
        <v>907.53187006703604</v>
      </c>
      <c r="Y3" s="2" t="s">
        <v>78</v>
      </c>
      <c r="Z3" s="4">
        <v>0.01</v>
      </c>
    </row>
    <row r="4" spans="1:28" x14ac:dyDescent="0.25">
      <c r="A4" s="1" t="s">
        <v>9</v>
      </c>
      <c r="B4" s="5">
        <f t="shared" ref="B4:G4" si="4">B2+B3</f>
        <v>505.10199999999998</v>
      </c>
      <c r="C4" s="5">
        <f t="shared" si="4"/>
        <v>534.21799999999996</v>
      </c>
      <c r="D4" s="5">
        <f t="shared" si="4"/>
        <v>552.351</v>
      </c>
      <c r="E4" s="5">
        <f t="shared" si="4"/>
        <v>563.38900000000012</v>
      </c>
      <c r="F4" s="5">
        <f t="shared" si="4"/>
        <v>526.32500000000005</v>
      </c>
      <c r="G4" s="5">
        <f t="shared" si="4"/>
        <v>590.22500000000002</v>
      </c>
      <c r="H4" s="5">
        <f>H2+H3</f>
        <v>616.505</v>
      </c>
      <c r="I4" s="5">
        <f t="shared" ref="I4" si="5">I2+I3</f>
        <v>630.61800000000005</v>
      </c>
      <c r="J4" s="5">
        <f t="shared" ref="J4:K4" si="6">J2+J3</f>
        <v>650.34500000000003</v>
      </c>
      <c r="K4" s="5">
        <f t="shared" si="6"/>
        <v>676.18100000000004</v>
      </c>
      <c r="L4" s="5"/>
      <c r="M4" s="5">
        <f t="shared" ref="M4:V4" si="7">M2+M3</f>
        <v>0</v>
      </c>
      <c r="N4" s="5">
        <f t="shared" si="7"/>
        <v>1465.0690000000002</v>
      </c>
      <c r="O4" s="5">
        <f t="shared" si="7"/>
        <v>1850.777</v>
      </c>
      <c r="P4" s="5">
        <f t="shared" si="7"/>
        <v>2155.06</v>
      </c>
      <c r="Q4" s="5">
        <f t="shared" si="7"/>
        <v>2470.3255399999998</v>
      </c>
      <c r="R4" s="5">
        <f t="shared" si="7"/>
        <v>2853.4774241999994</v>
      </c>
      <c r="S4" s="5">
        <f t="shared" si="7"/>
        <v>3261.4411534379997</v>
      </c>
      <c r="T4" s="5">
        <f t="shared" si="7"/>
        <v>3739.525200616139</v>
      </c>
      <c r="U4" s="5">
        <f t="shared" si="7"/>
        <v>4287.8746785121166</v>
      </c>
      <c r="V4" s="5">
        <f t="shared" si="7"/>
        <v>4916.8412688069529</v>
      </c>
      <c r="W4" s="5">
        <f t="shared" ref="W4" si="8">W2+W3</f>
        <v>5638.3049481533571</v>
      </c>
      <c r="Y4" s="2" t="s">
        <v>80</v>
      </c>
      <c r="Z4" s="6">
        <f>NPV(Z2,Q18:CZ18)</f>
        <v>30787.643377056425</v>
      </c>
    </row>
    <row r="5" spans="1:28" x14ac:dyDescent="0.25">
      <c r="A5" s="2" t="s">
        <v>11</v>
      </c>
      <c r="B5" s="3">
        <v>58.953000000000003</v>
      </c>
      <c r="C5" s="3">
        <v>64.034999999999997</v>
      </c>
      <c r="D5" s="3">
        <v>65.733999999999995</v>
      </c>
      <c r="E5" s="3">
        <f t="shared" ref="E5:E6" si="9">P5-SUM(B5:D5)</f>
        <v>68.913000000000011</v>
      </c>
      <c r="F5" s="3">
        <v>67.575000000000003</v>
      </c>
      <c r="G5" s="3">
        <v>71.168999999999997</v>
      </c>
      <c r="H5" s="3">
        <v>74.435000000000002</v>
      </c>
      <c r="I5" s="3">
        <v>77.397999999999996</v>
      </c>
      <c r="J5" s="3">
        <v>78.147999999999996</v>
      </c>
      <c r="K5" s="3">
        <v>78.790999999999997</v>
      </c>
      <c r="L5" s="3"/>
      <c r="M5" s="3"/>
      <c r="N5" s="3">
        <v>184.589</v>
      </c>
      <c r="O5" s="3">
        <v>224.911</v>
      </c>
      <c r="P5" s="3">
        <v>257.63499999999999</v>
      </c>
      <c r="Q5" s="3">
        <f>P5*1.1</f>
        <v>283.39850000000001</v>
      </c>
      <c r="R5" s="3">
        <f t="shared" ref="R5:W5" si="10">Q5*1.1</f>
        <v>311.73835000000003</v>
      </c>
      <c r="S5" s="3">
        <f t="shared" si="10"/>
        <v>342.91218500000008</v>
      </c>
      <c r="T5" s="3">
        <f t="shared" si="10"/>
        <v>377.20340350000009</v>
      </c>
      <c r="U5" s="3">
        <f t="shared" si="10"/>
        <v>414.92374385000011</v>
      </c>
      <c r="V5" s="3">
        <f t="shared" si="10"/>
        <v>456.41611823500017</v>
      </c>
      <c r="W5" s="3">
        <f t="shared" si="10"/>
        <v>502.05773005850023</v>
      </c>
      <c r="Y5" s="2" t="s">
        <v>81</v>
      </c>
      <c r="Z5" s="6">
        <f>main!B5</f>
        <v>4885.0779999999995</v>
      </c>
    </row>
    <row r="6" spans="1:28" x14ac:dyDescent="0.25">
      <c r="A6" s="2" t="s">
        <v>12</v>
      </c>
      <c r="B6" s="3">
        <v>80.561999999999998</v>
      </c>
      <c r="C6" s="3">
        <v>87.634</v>
      </c>
      <c r="D6" s="3">
        <v>88.173000000000002</v>
      </c>
      <c r="E6" s="3">
        <f t="shared" si="9"/>
        <v>95.400999999999954</v>
      </c>
      <c r="F6" s="3">
        <v>99.087999999999994</v>
      </c>
      <c r="G6" s="3">
        <v>97.849000000000004</v>
      </c>
      <c r="H6" s="3">
        <v>93.247</v>
      </c>
      <c r="I6" s="3">
        <v>96.53</v>
      </c>
      <c r="J6" s="3">
        <v>95.736000000000004</v>
      </c>
      <c r="K6" s="3">
        <v>91.581000000000003</v>
      </c>
      <c r="L6" s="3"/>
      <c r="M6" s="3"/>
      <c r="N6" s="3">
        <v>224.339</v>
      </c>
      <c r="O6" s="3">
        <v>278.767</v>
      </c>
      <c r="P6" s="3">
        <v>351.77</v>
      </c>
      <c r="Q6" s="3">
        <f>P6*1.1</f>
        <v>386.947</v>
      </c>
      <c r="R6" s="3">
        <f t="shared" ref="R6:W6" si="11">Q6*1.1</f>
        <v>425.64170000000001</v>
      </c>
      <c r="S6" s="3">
        <f t="shared" si="11"/>
        <v>468.20587000000006</v>
      </c>
      <c r="T6" s="3">
        <f t="shared" si="11"/>
        <v>515.02645700000016</v>
      </c>
      <c r="U6" s="3">
        <f t="shared" si="11"/>
        <v>566.52910270000018</v>
      </c>
      <c r="V6" s="3">
        <f t="shared" si="11"/>
        <v>623.1820129700003</v>
      </c>
      <c r="W6" s="3">
        <f t="shared" si="11"/>
        <v>685.50021426700039</v>
      </c>
      <c r="Y6" s="2" t="s">
        <v>79</v>
      </c>
      <c r="Z6" s="6">
        <f>Z4+Z5</f>
        <v>35672.721377056427</v>
      </c>
    </row>
    <row r="7" spans="1:28" x14ac:dyDescent="0.25">
      <c r="A7" s="2" t="s">
        <v>13</v>
      </c>
      <c r="B7" s="3">
        <f t="shared" ref="B7:G7" si="12">B2-B5</f>
        <v>343.67899999999997</v>
      </c>
      <c r="C7" s="3">
        <f t="shared" si="12"/>
        <v>364.61400000000003</v>
      </c>
      <c r="D7" s="3">
        <f t="shared" si="12"/>
        <v>375.83500000000004</v>
      </c>
      <c r="E7" s="3">
        <f t="shared" si="12"/>
        <v>391.23900000000003</v>
      </c>
      <c r="F7" s="3">
        <f t="shared" si="12"/>
        <v>346.971</v>
      </c>
      <c r="G7" s="3">
        <f t="shared" si="12"/>
        <v>399.46800000000002</v>
      </c>
      <c r="H7" s="3">
        <f>H2-H5</f>
        <v>420.47699999999998</v>
      </c>
      <c r="I7" s="3">
        <f t="shared" ref="I7:I8" si="13">I2-I5</f>
        <v>444.1</v>
      </c>
      <c r="J7" s="3">
        <f t="shared" ref="J7:K7" si="14">J2-J5</f>
        <v>455.80700000000002</v>
      </c>
      <c r="K7" s="3">
        <f t="shared" si="14"/>
        <v>482.48600000000005</v>
      </c>
      <c r="L7" s="3"/>
      <c r="M7" s="3">
        <f t="shared" ref="M7:V7" si="15">M2-M5</f>
        <v>0</v>
      </c>
      <c r="N7" s="3">
        <f t="shared" si="15"/>
        <v>994.89700000000016</v>
      </c>
      <c r="O7" s="3">
        <f t="shared" si="15"/>
        <v>1259.0650000000001</v>
      </c>
      <c r="P7" s="3">
        <f t="shared" si="15"/>
        <v>1475.367</v>
      </c>
      <c r="Q7" s="3">
        <f t="shared" si="15"/>
        <v>1726.8838199999998</v>
      </c>
      <c r="R7" s="3">
        <f t="shared" si="15"/>
        <v>2040.2919643999994</v>
      </c>
      <c r="S7" s="3">
        <f t="shared" si="15"/>
        <v>2361.9226765599992</v>
      </c>
      <c r="T7" s="3">
        <f t="shared" si="15"/>
        <v>2733.3566872939987</v>
      </c>
      <c r="U7" s="3">
        <f t="shared" si="15"/>
        <v>3162.2203605630984</v>
      </c>
      <c r="V7" s="3">
        <f t="shared" si="15"/>
        <v>3657.2996018400622</v>
      </c>
      <c r="W7" s="3">
        <f t="shared" ref="W7" si="16">W2-W5</f>
        <v>4228.7153480278212</v>
      </c>
      <c r="Y7" s="2" t="s">
        <v>2</v>
      </c>
      <c r="Z7" s="6">
        <f>Z6/main!B3</f>
        <v>220.29199076497014</v>
      </c>
    </row>
    <row r="8" spans="1:28" x14ac:dyDescent="0.25">
      <c r="A8" s="2" t="s">
        <v>14</v>
      </c>
      <c r="B8" s="3">
        <f t="shared" ref="B8:G8" si="17">B3-B6</f>
        <v>21.908000000000001</v>
      </c>
      <c r="C8" s="3">
        <f t="shared" si="17"/>
        <v>17.935000000000002</v>
      </c>
      <c r="D8" s="3">
        <f t="shared" si="17"/>
        <v>22.608999999999995</v>
      </c>
      <c r="E8" s="3">
        <f t="shared" si="17"/>
        <v>7.8360000000000696</v>
      </c>
      <c r="F8" s="3">
        <f t="shared" si="17"/>
        <v>12.691000000000003</v>
      </c>
      <c r="G8" s="3">
        <f t="shared" si="17"/>
        <v>21.73899999999999</v>
      </c>
      <c r="H8" s="3">
        <f>H3-H6</f>
        <v>28.346000000000004</v>
      </c>
      <c r="I8" s="3">
        <f t="shared" si="13"/>
        <v>12.590000000000003</v>
      </c>
      <c r="J8" s="3">
        <f t="shared" ref="J8:K8" si="18">J3-J6</f>
        <v>20.653999999999996</v>
      </c>
      <c r="K8" s="3">
        <f t="shared" si="18"/>
        <v>23.322999999999993</v>
      </c>
      <c r="L8" s="3"/>
      <c r="M8" s="3">
        <f t="shared" ref="M8:V8" si="19">M3-M6</f>
        <v>0</v>
      </c>
      <c r="N8" s="3">
        <f t="shared" si="19"/>
        <v>61.244000000000028</v>
      </c>
      <c r="O8" s="3">
        <f t="shared" si="19"/>
        <v>88.033999999999992</v>
      </c>
      <c r="P8" s="3">
        <f t="shared" si="19"/>
        <v>70.288000000000011</v>
      </c>
      <c r="Q8" s="3">
        <f t="shared" si="19"/>
        <v>73.096220000000017</v>
      </c>
      <c r="R8" s="3">
        <f t="shared" si="19"/>
        <v>75.805409800000064</v>
      </c>
      <c r="S8" s="3">
        <f t="shared" si="19"/>
        <v>88.400421878000031</v>
      </c>
      <c r="T8" s="3">
        <f t="shared" si="19"/>
        <v>113.93865282213983</v>
      </c>
      <c r="U8" s="3">
        <f t="shared" si="19"/>
        <v>144.20147139901792</v>
      </c>
      <c r="V8" s="3">
        <f t="shared" si="19"/>
        <v>179.94353576189008</v>
      </c>
      <c r="W8" s="3">
        <f t="shared" ref="W8" si="20">W3-W6</f>
        <v>222.03165580003565</v>
      </c>
    </row>
    <row r="9" spans="1:28" x14ac:dyDescent="0.25">
      <c r="A9" s="1" t="s">
        <v>15</v>
      </c>
      <c r="B9" s="5">
        <f t="shared" ref="B9:G9" si="21">B7+B8</f>
        <v>365.58699999999999</v>
      </c>
      <c r="C9" s="5">
        <f t="shared" si="21"/>
        <v>382.54900000000004</v>
      </c>
      <c r="D9" s="5">
        <f t="shared" si="21"/>
        <v>398.44400000000002</v>
      </c>
      <c r="E9" s="5">
        <f t="shared" si="21"/>
        <v>399.0750000000001</v>
      </c>
      <c r="F9" s="5">
        <f t="shared" si="21"/>
        <v>359.66200000000003</v>
      </c>
      <c r="G9" s="5">
        <f t="shared" si="21"/>
        <v>421.20699999999999</v>
      </c>
      <c r="H9" s="5">
        <f>H7+H8</f>
        <v>448.82299999999998</v>
      </c>
      <c r="I9" s="5">
        <f t="shared" ref="I9" si="22">I7+I8</f>
        <v>456.69000000000005</v>
      </c>
      <c r="J9" s="5">
        <f t="shared" ref="J9:K9" si="23">J7+J8</f>
        <v>476.46100000000001</v>
      </c>
      <c r="K9" s="5">
        <f t="shared" si="23"/>
        <v>505.80900000000003</v>
      </c>
      <c r="L9" s="5"/>
      <c r="M9" s="5">
        <f t="shared" ref="M9:V9" si="24">M7+M8</f>
        <v>0</v>
      </c>
      <c r="N9" s="5">
        <f t="shared" si="24"/>
        <v>1056.1410000000001</v>
      </c>
      <c r="O9" s="5">
        <f t="shared" si="24"/>
        <v>1347.0990000000002</v>
      </c>
      <c r="P9" s="5">
        <f t="shared" si="24"/>
        <v>1545.655</v>
      </c>
      <c r="Q9" s="5">
        <f t="shared" si="24"/>
        <v>1799.9800399999999</v>
      </c>
      <c r="R9" s="5">
        <f t="shared" si="24"/>
        <v>2116.0973741999996</v>
      </c>
      <c r="S9" s="5">
        <f t="shared" si="24"/>
        <v>2450.3230984379993</v>
      </c>
      <c r="T9" s="5">
        <f t="shared" si="24"/>
        <v>2847.2953401161385</v>
      </c>
      <c r="U9" s="5">
        <f t="shared" si="24"/>
        <v>3306.4218319621164</v>
      </c>
      <c r="V9" s="5">
        <f t="shared" si="24"/>
        <v>3837.2431376019522</v>
      </c>
      <c r="W9" s="5">
        <f t="shared" ref="W9" si="25">W7+W8</f>
        <v>4450.747003827857</v>
      </c>
    </row>
    <row r="10" spans="1:28" x14ac:dyDescent="0.25">
      <c r="A10" s="2" t="s">
        <v>16</v>
      </c>
      <c r="B10" s="3">
        <v>113.47499999999999</v>
      </c>
      <c r="C10" s="3">
        <v>134.00800000000001</v>
      </c>
      <c r="D10" s="3">
        <v>130.25700000000001</v>
      </c>
      <c r="E10" s="3">
        <f t="shared" ref="E10:E12" si="26">P10-SUM(B10:D10)</f>
        <v>142.53800000000001</v>
      </c>
      <c r="F10" s="3">
        <v>146.96</v>
      </c>
      <c r="G10" s="3">
        <v>157.22800000000001</v>
      </c>
      <c r="H10" s="3">
        <v>161.27799999999999</v>
      </c>
      <c r="I10" s="3">
        <v>163.565</v>
      </c>
      <c r="J10" s="3">
        <v>162.71100000000001</v>
      </c>
      <c r="K10" s="3">
        <v>176.429</v>
      </c>
      <c r="L10" s="3"/>
      <c r="M10" s="3"/>
      <c r="N10" s="3">
        <v>294.22000000000003</v>
      </c>
      <c r="O10" s="3">
        <v>382.03500000000003</v>
      </c>
      <c r="P10" s="3">
        <v>520.27800000000002</v>
      </c>
      <c r="Q10" s="3">
        <f>Q4*0.24</f>
        <v>592.87812959999997</v>
      </c>
      <c r="R10" s="3">
        <f t="shared" ref="R10" si="27">R4*0.24</f>
        <v>684.83458180799983</v>
      </c>
      <c r="S10" s="3">
        <f>S4*0.23</f>
        <v>750.13146529073992</v>
      </c>
      <c r="T10" s="3">
        <f t="shared" ref="T10:W10" si="28">T4*0.23</f>
        <v>860.09079614171196</v>
      </c>
      <c r="U10" s="3">
        <f t="shared" si="28"/>
        <v>986.21117605778682</v>
      </c>
      <c r="V10" s="3">
        <f t="shared" si="28"/>
        <v>1130.8734918255993</v>
      </c>
      <c r="W10" s="3">
        <f t="shared" si="28"/>
        <v>1296.8101380752721</v>
      </c>
    </row>
    <row r="11" spans="1:28" x14ac:dyDescent="0.25">
      <c r="A11" s="2" t="s">
        <v>17</v>
      </c>
      <c r="B11" s="3">
        <v>76.114999999999995</v>
      </c>
      <c r="C11" s="3">
        <v>89.617000000000004</v>
      </c>
      <c r="D11" s="3">
        <v>93.91</v>
      </c>
      <c r="E11" s="3">
        <f t="shared" si="26"/>
        <v>89.048999999999978</v>
      </c>
      <c r="F11" s="3">
        <v>88.503</v>
      </c>
      <c r="G11" s="3">
        <v>96.995000000000005</v>
      </c>
      <c r="H11" s="3">
        <v>96.772999999999996</v>
      </c>
      <c r="I11" s="3">
        <v>99.203000000000003</v>
      </c>
      <c r="J11" s="3">
        <v>97.301000000000002</v>
      </c>
      <c r="K11" s="3">
        <v>101.52800000000001</v>
      </c>
      <c r="L11" s="3"/>
      <c r="M11" s="3"/>
      <c r="N11" s="3">
        <v>235.01400000000001</v>
      </c>
      <c r="O11" s="3">
        <v>288.06099999999998</v>
      </c>
      <c r="P11" s="3">
        <v>348.69099999999997</v>
      </c>
      <c r="Q11" s="3">
        <f>P11*1.1</f>
        <v>383.56009999999998</v>
      </c>
      <c r="R11" s="3">
        <f t="shared" ref="R11:W11" si="29">Q11*1.1</f>
        <v>421.91611</v>
      </c>
      <c r="S11" s="3">
        <f t="shared" si="29"/>
        <v>464.10772100000003</v>
      </c>
      <c r="T11" s="3">
        <f t="shared" si="29"/>
        <v>510.51849310000006</v>
      </c>
      <c r="U11" s="3">
        <f t="shared" si="29"/>
        <v>561.57034241000008</v>
      </c>
      <c r="V11" s="3">
        <f t="shared" si="29"/>
        <v>617.7273766510001</v>
      </c>
      <c r="W11" s="3">
        <f t="shared" si="29"/>
        <v>679.50011431610017</v>
      </c>
    </row>
    <row r="12" spans="1:28" x14ac:dyDescent="0.25">
      <c r="A12" s="2" t="s">
        <v>18</v>
      </c>
      <c r="B12" s="3">
        <v>48.325000000000003</v>
      </c>
      <c r="C12" s="3">
        <v>57.832000000000001</v>
      </c>
      <c r="D12" s="3">
        <v>52.872999999999998</v>
      </c>
      <c r="E12" s="3">
        <f t="shared" si="26"/>
        <v>58.564999999999998</v>
      </c>
      <c r="F12" s="3">
        <v>62.668999999999997</v>
      </c>
      <c r="G12" s="3">
        <v>62.935000000000002</v>
      </c>
      <c r="H12" s="3">
        <v>62.283000000000001</v>
      </c>
      <c r="I12" s="3">
        <v>58.658000000000001</v>
      </c>
      <c r="J12" s="3">
        <v>61.277000000000001</v>
      </c>
      <c r="K12" s="3">
        <v>61.365000000000002</v>
      </c>
      <c r="L12" s="3"/>
      <c r="M12" s="3"/>
      <c r="N12" s="3">
        <v>149.113</v>
      </c>
      <c r="O12" s="3">
        <v>171.50700000000001</v>
      </c>
      <c r="P12" s="3">
        <v>217.595</v>
      </c>
      <c r="Q12" s="3">
        <f>P12*1.07</f>
        <v>232.82665</v>
      </c>
      <c r="R12" s="3">
        <f t="shared" ref="R12:W12" si="30">Q12*1.07</f>
        <v>249.1245155</v>
      </c>
      <c r="S12" s="3">
        <f t="shared" si="30"/>
        <v>266.56323158500004</v>
      </c>
      <c r="T12" s="3">
        <f t="shared" si="30"/>
        <v>285.22265779595006</v>
      </c>
      <c r="U12" s="3">
        <f t="shared" si="30"/>
        <v>305.18824384166658</v>
      </c>
      <c r="V12" s="3">
        <f t="shared" si="30"/>
        <v>326.55142091058326</v>
      </c>
      <c r="W12" s="3">
        <f t="shared" si="30"/>
        <v>349.41002037432412</v>
      </c>
    </row>
    <row r="13" spans="1:28" x14ac:dyDescent="0.25">
      <c r="A13" s="2" t="s">
        <v>19</v>
      </c>
      <c r="B13" s="3">
        <f>B10+B11+B12</f>
        <v>237.91499999999996</v>
      </c>
      <c r="C13" s="3">
        <f t="shared" ref="C13:H13" si="31">C10+C11+C12</f>
        <v>281.45699999999999</v>
      </c>
      <c r="D13" s="3">
        <f t="shared" si="31"/>
        <v>277.04000000000002</v>
      </c>
      <c r="E13" s="3">
        <f t="shared" si="31"/>
        <v>290.15199999999999</v>
      </c>
      <c r="F13" s="3">
        <f t="shared" si="31"/>
        <v>298.13200000000001</v>
      </c>
      <c r="G13" s="3">
        <f t="shared" si="31"/>
        <v>317.15800000000002</v>
      </c>
      <c r="H13" s="3">
        <f t="shared" si="31"/>
        <v>320.334</v>
      </c>
      <c r="I13" s="3">
        <f t="shared" ref="I13" si="32">I10+I11+I12</f>
        <v>321.42600000000004</v>
      </c>
      <c r="J13" s="3">
        <f t="shared" ref="J13:K13" si="33">J10+J11+J12</f>
        <v>321.28899999999999</v>
      </c>
      <c r="K13" s="3">
        <f t="shared" si="33"/>
        <v>339.322</v>
      </c>
      <c r="L13" s="3"/>
      <c r="M13" s="3">
        <f t="shared" ref="M13:V13" si="34">M10+M11+M12</f>
        <v>0</v>
      </c>
      <c r="N13" s="3">
        <f t="shared" si="34"/>
        <v>678.34699999999998</v>
      </c>
      <c r="O13" s="3">
        <f t="shared" si="34"/>
        <v>841.60300000000007</v>
      </c>
      <c r="P13" s="3">
        <f t="shared" si="34"/>
        <v>1086.5640000000001</v>
      </c>
      <c r="Q13" s="3">
        <f t="shared" si="34"/>
        <v>1209.2648795999999</v>
      </c>
      <c r="R13" s="3">
        <f t="shared" si="34"/>
        <v>1355.8752073079997</v>
      </c>
      <c r="S13" s="3">
        <f t="shared" si="34"/>
        <v>1480.80241787574</v>
      </c>
      <c r="T13" s="3">
        <f t="shared" si="34"/>
        <v>1655.8319470376621</v>
      </c>
      <c r="U13" s="3">
        <f t="shared" si="34"/>
        <v>1852.9697623094535</v>
      </c>
      <c r="V13" s="3">
        <f t="shared" si="34"/>
        <v>2075.1522893871825</v>
      </c>
      <c r="W13" s="3">
        <f t="shared" ref="W13" si="35">W10+W11+W12</f>
        <v>2325.7202727656963</v>
      </c>
    </row>
    <row r="14" spans="1:28" x14ac:dyDescent="0.25">
      <c r="A14" s="1" t="s">
        <v>20</v>
      </c>
      <c r="B14" s="5">
        <f>B9-B13</f>
        <v>127.67200000000003</v>
      </c>
      <c r="C14" s="5">
        <f t="shared" ref="C14:H14" si="36">C9-C13</f>
        <v>101.09200000000004</v>
      </c>
      <c r="D14" s="5">
        <f t="shared" si="36"/>
        <v>121.404</v>
      </c>
      <c r="E14" s="5">
        <f t="shared" si="36"/>
        <v>108.92300000000012</v>
      </c>
      <c r="F14" s="5">
        <f t="shared" si="36"/>
        <v>61.53000000000003</v>
      </c>
      <c r="G14" s="5">
        <f t="shared" si="36"/>
        <v>104.04899999999998</v>
      </c>
      <c r="H14" s="5">
        <f t="shared" si="36"/>
        <v>128.48899999999998</v>
      </c>
      <c r="I14" s="5">
        <f t="shared" ref="I14" si="37">I9-I13</f>
        <v>135.26400000000001</v>
      </c>
      <c r="J14" s="5">
        <f t="shared" ref="J14:K14" si="38">J9-J13</f>
        <v>155.17200000000003</v>
      </c>
      <c r="K14" s="5">
        <f t="shared" si="38"/>
        <v>166.48700000000002</v>
      </c>
      <c r="L14" s="5"/>
      <c r="M14" s="5">
        <f t="shared" ref="M14:V14" si="39">M9-M13</f>
        <v>0</v>
      </c>
      <c r="N14" s="5">
        <f t="shared" si="39"/>
        <v>377.7940000000001</v>
      </c>
      <c r="O14" s="5">
        <f t="shared" si="39"/>
        <v>505.49600000000009</v>
      </c>
      <c r="P14" s="5">
        <f t="shared" si="39"/>
        <v>459.09099999999989</v>
      </c>
      <c r="Q14" s="5">
        <f t="shared" si="39"/>
        <v>590.71516040000006</v>
      </c>
      <c r="R14" s="5">
        <f t="shared" si="39"/>
        <v>760.2221668919999</v>
      </c>
      <c r="S14" s="5">
        <f t="shared" si="39"/>
        <v>969.52068056225926</v>
      </c>
      <c r="T14" s="5">
        <f t="shared" si="39"/>
        <v>1191.4633930784764</v>
      </c>
      <c r="U14" s="5">
        <f t="shared" si="39"/>
        <v>1453.4520696526629</v>
      </c>
      <c r="V14" s="5">
        <f t="shared" si="39"/>
        <v>1762.0908482147697</v>
      </c>
      <c r="W14" s="5">
        <f t="shared" ref="W14" si="40">W9-W13</f>
        <v>2125.0267310621607</v>
      </c>
    </row>
    <row r="15" spans="1:28" x14ac:dyDescent="0.25">
      <c r="A15" s="2" t="s">
        <v>21</v>
      </c>
      <c r="B15" s="3">
        <v>2.7090000000000001</v>
      </c>
      <c r="C15" s="3">
        <v>8.3979999999999997</v>
      </c>
      <c r="D15" s="3">
        <v>12.458</v>
      </c>
      <c r="E15" s="3">
        <f>P15-SUM(B15:D15)</f>
        <v>26.440000000000005</v>
      </c>
      <c r="F15" s="3">
        <v>30.248000000000001</v>
      </c>
      <c r="G15" s="3">
        <v>38.826000000000001</v>
      </c>
      <c r="H15" s="3">
        <v>42.186999999999998</v>
      </c>
      <c r="I15" s="3">
        <v>47.429000000000002</v>
      </c>
      <c r="J15" s="3">
        <v>51.728999999999999</v>
      </c>
      <c r="K15" s="3">
        <v>58.573</v>
      </c>
      <c r="L15" s="3"/>
      <c r="M15" s="3"/>
      <c r="N15" s="3">
        <v>16.199000000000002</v>
      </c>
      <c r="O15" s="3">
        <v>6.8150000000000004</v>
      </c>
      <c r="P15" s="3">
        <v>50.005000000000003</v>
      </c>
      <c r="Q15" s="3">
        <f>+P37*$AB$2</f>
        <v>244.25389999999999</v>
      </c>
      <c r="R15" s="3">
        <f t="shared" ref="R15:W15" si="41">+Q37*$AB$2</f>
        <v>281.82750771799999</v>
      </c>
      <c r="S15" s="3">
        <f t="shared" si="41"/>
        <v>328.71974307544997</v>
      </c>
      <c r="T15" s="3">
        <f t="shared" si="41"/>
        <v>387.14056213914688</v>
      </c>
      <c r="U15" s="3">
        <f t="shared" si="41"/>
        <v>458.17774012393994</v>
      </c>
      <c r="V15" s="3">
        <f t="shared" si="41"/>
        <v>544.2010815638871</v>
      </c>
      <c r="W15" s="3">
        <f t="shared" si="41"/>
        <v>647.98421840392666</v>
      </c>
    </row>
    <row r="16" spans="1:28" x14ac:dyDescent="0.25">
      <c r="A16" s="2" t="s">
        <v>22</v>
      </c>
      <c r="B16" s="3">
        <f t="shared" ref="B16:G16" si="42">B14+B15</f>
        <v>130.38100000000003</v>
      </c>
      <c r="C16" s="3">
        <f t="shared" si="42"/>
        <v>109.49000000000004</v>
      </c>
      <c r="D16" s="3">
        <f t="shared" si="42"/>
        <v>133.86199999999999</v>
      </c>
      <c r="E16" s="3">
        <f t="shared" si="42"/>
        <v>135.36300000000011</v>
      </c>
      <c r="F16" s="3">
        <f t="shared" si="42"/>
        <v>91.778000000000034</v>
      </c>
      <c r="G16" s="3">
        <f t="shared" si="42"/>
        <v>142.87499999999997</v>
      </c>
      <c r="H16" s="3">
        <f>H14+H15</f>
        <v>170.67599999999999</v>
      </c>
      <c r="I16" s="3">
        <f t="shared" ref="I16" si="43">I14+I15</f>
        <v>182.69300000000001</v>
      </c>
      <c r="J16" s="3">
        <f t="shared" ref="J16:K16" si="44">J14+J15</f>
        <v>206.90100000000001</v>
      </c>
      <c r="K16" s="3">
        <f t="shared" si="44"/>
        <v>225.06000000000003</v>
      </c>
      <c r="L16" s="3"/>
      <c r="M16" s="3">
        <f t="shared" ref="M16:V16" si="45">M14+M15</f>
        <v>0</v>
      </c>
      <c r="N16" s="3">
        <f t="shared" si="45"/>
        <v>393.99300000000011</v>
      </c>
      <c r="O16" s="3">
        <f t="shared" si="45"/>
        <v>512.31100000000015</v>
      </c>
      <c r="P16" s="3">
        <f t="shared" si="45"/>
        <v>509.09599999999989</v>
      </c>
      <c r="Q16" s="3">
        <f t="shared" si="45"/>
        <v>834.96906039999999</v>
      </c>
      <c r="R16" s="3">
        <f t="shared" si="45"/>
        <v>1042.0496746099998</v>
      </c>
      <c r="S16" s="3">
        <f t="shared" si="45"/>
        <v>1298.2404236377092</v>
      </c>
      <c r="T16" s="3">
        <f t="shared" si="45"/>
        <v>1578.6039552176233</v>
      </c>
      <c r="U16" s="3">
        <f t="shared" si="45"/>
        <v>1911.6298097766028</v>
      </c>
      <c r="V16" s="3">
        <f t="shared" si="45"/>
        <v>2306.2919297786566</v>
      </c>
      <c r="W16" s="3">
        <f t="shared" ref="W16" si="46">W14+W15</f>
        <v>2773.0109494660874</v>
      </c>
    </row>
    <row r="17" spans="1:104" x14ac:dyDescent="0.25">
      <c r="A17" s="2" t="s">
        <v>23</v>
      </c>
      <c r="B17" s="3">
        <v>30.265999999999998</v>
      </c>
      <c r="C17" s="3">
        <v>18.888999999999999</v>
      </c>
      <c r="D17" s="3">
        <v>25.405000000000001</v>
      </c>
      <c r="E17" s="3">
        <f>P17-SUM(B17:D17)</f>
        <v>-53.17</v>
      </c>
      <c r="F17" s="3">
        <v>-39.743000000000002</v>
      </c>
      <c r="G17" s="3">
        <v>31.247</v>
      </c>
      <c r="H17" s="3">
        <v>35.518000000000001</v>
      </c>
      <c r="I17" s="3">
        <v>35.295000000000002</v>
      </c>
      <c r="J17" s="3">
        <v>45.237000000000002</v>
      </c>
      <c r="K17" s="3">
        <v>54.018999999999998</v>
      </c>
      <c r="L17" s="3"/>
      <c r="M17" s="3"/>
      <c r="N17" s="3">
        <v>13.994999999999999</v>
      </c>
      <c r="O17" s="3">
        <v>84.921000000000006</v>
      </c>
      <c r="P17" s="3">
        <v>21.39</v>
      </c>
      <c r="Q17" s="3">
        <f>Q16*0.1</f>
        <v>83.496906039999999</v>
      </c>
      <c r="R17" s="3">
        <f t="shared" ref="R17:W17" si="47">R16*0.1</f>
        <v>104.20496746099998</v>
      </c>
      <c r="S17" s="3">
        <f t="shared" si="47"/>
        <v>129.82404236377093</v>
      </c>
      <c r="T17" s="3">
        <f t="shared" si="47"/>
        <v>157.86039552176234</v>
      </c>
      <c r="U17" s="3">
        <f t="shared" si="47"/>
        <v>191.16298097766028</v>
      </c>
      <c r="V17" s="3">
        <f t="shared" si="47"/>
        <v>230.62919297786567</v>
      </c>
      <c r="W17" s="3">
        <f t="shared" si="47"/>
        <v>277.30109494660877</v>
      </c>
    </row>
    <row r="18" spans="1:104" x14ac:dyDescent="0.25">
      <c r="A18" s="1" t="s">
        <v>24</v>
      </c>
      <c r="B18" s="5">
        <f t="shared" ref="B18:G18" si="48">B16-B17</f>
        <v>100.11500000000004</v>
      </c>
      <c r="C18" s="5">
        <f t="shared" si="48"/>
        <v>90.601000000000042</v>
      </c>
      <c r="D18" s="5">
        <f t="shared" si="48"/>
        <v>108.45699999999999</v>
      </c>
      <c r="E18" s="5">
        <f t="shared" si="48"/>
        <v>188.53300000000013</v>
      </c>
      <c r="F18" s="5">
        <f t="shared" si="48"/>
        <v>131.52100000000004</v>
      </c>
      <c r="G18" s="5">
        <f t="shared" si="48"/>
        <v>111.62799999999997</v>
      </c>
      <c r="H18" s="5">
        <f>H16-H17</f>
        <v>135.15799999999999</v>
      </c>
      <c r="I18" s="5">
        <f t="shared" ref="I18" si="49">I16-I17</f>
        <v>147.39800000000002</v>
      </c>
      <c r="J18" s="5">
        <f t="shared" ref="J18:K18" si="50">J16-J17</f>
        <v>161.66400000000002</v>
      </c>
      <c r="K18" s="5">
        <f t="shared" si="50"/>
        <v>171.04100000000003</v>
      </c>
      <c r="L18" s="5"/>
      <c r="M18" s="5">
        <f t="shared" ref="M18:V18" si="51">M16-M17</f>
        <v>0</v>
      </c>
      <c r="N18" s="5">
        <f t="shared" si="51"/>
        <v>379.9980000000001</v>
      </c>
      <c r="O18" s="5">
        <f t="shared" si="51"/>
        <v>427.39000000000016</v>
      </c>
      <c r="P18" s="5">
        <f t="shared" si="51"/>
        <v>487.7059999999999</v>
      </c>
      <c r="Q18" s="5">
        <f t="shared" si="51"/>
        <v>751.47215435999999</v>
      </c>
      <c r="R18" s="5">
        <f t="shared" si="51"/>
        <v>937.84470714899976</v>
      </c>
      <c r="S18" s="5">
        <f t="shared" si="51"/>
        <v>1168.4163812739382</v>
      </c>
      <c r="T18" s="5">
        <f t="shared" si="51"/>
        <v>1420.743559695861</v>
      </c>
      <c r="U18" s="5">
        <f t="shared" si="51"/>
        <v>1720.4668287989425</v>
      </c>
      <c r="V18" s="5">
        <f t="shared" si="51"/>
        <v>2075.6627368007908</v>
      </c>
      <c r="W18" s="5">
        <f t="shared" ref="W18" si="52">W16-W17</f>
        <v>2495.7098545194785</v>
      </c>
      <c r="X18" s="5">
        <f>W18*(1+$Z$3)</f>
        <v>2520.6669530646732</v>
      </c>
      <c r="Y18" s="5">
        <f t="shared" ref="Y18:CJ18" si="53">X18*(1+$Z$3)</f>
        <v>2545.8736225953198</v>
      </c>
      <c r="Z18" s="5">
        <f t="shared" si="53"/>
        <v>2571.3323588212729</v>
      </c>
      <c r="AA18" s="5">
        <f t="shared" si="53"/>
        <v>2597.0456824094858</v>
      </c>
      <c r="AB18" s="5">
        <f t="shared" si="53"/>
        <v>2623.0161392335808</v>
      </c>
      <c r="AC18" s="5">
        <f t="shared" si="53"/>
        <v>2649.2463006259168</v>
      </c>
      <c r="AD18" s="5">
        <f t="shared" si="53"/>
        <v>2675.738763632176</v>
      </c>
      <c r="AE18" s="5">
        <f t="shared" si="53"/>
        <v>2702.4961512684977</v>
      </c>
      <c r="AF18" s="5">
        <f t="shared" si="53"/>
        <v>2729.5211127811826</v>
      </c>
      <c r="AG18" s="5">
        <f t="shared" si="53"/>
        <v>2756.8163239089945</v>
      </c>
      <c r="AH18" s="5">
        <f t="shared" si="53"/>
        <v>2784.3844871480846</v>
      </c>
      <c r="AI18" s="5">
        <f t="shared" si="53"/>
        <v>2812.2283320195656</v>
      </c>
      <c r="AJ18" s="5">
        <f t="shared" si="53"/>
        <v>2840.3506153397611</v>
      </c>
      <c r="AK18" s="5">
        <f t="shared" si="53"/>
        <v>2868.7541214931589</v>
      </c>
      <c r="AL18" s="5">
        <f t="shared" si="53"/>
        <v>2897.4416627080905</v>
      </c>
      <c r="AM18" s="5">
        <f t="shared" si="53"/>
        <v>2926.4160793351716</v>
      </c>
      <c r="AN18" s="5">
        <f t="shared" si="53"/>
        <v>2955.6802401285236</v>
      </c>
      <c r="AO18" s="5">
        <f t="shared" si="53"/>
        <v>2985.2370425298086</v>
      </c>
      <c r="AP18" s="5">
        <f t="shared" si="53"/>
        <v>3015.0894129551066</v>
      </c>
      <c r="AQ18" s="5">
        <f t="shared" si="53"/>
        <v>3045.2403070846576</v>
      </c>
      <c r="AR18" s="5">
        <f t="shared" si="53"/>
        <v>3075.6927101555043</v>
      </c>
      <c r="AS18" s="5">
        <f t="shared" si="53"/>
        <v>3106.4496372570593</v>
      </c>
      <c r="AT18" s="5">
        <f t="shared" si="53"/>
        <v>3137.5141336296301</v>
      </c>
      <c r="AU18" s="5">
        <f t="shared" si="53"/>
        <v>3168.8892749659262</v>
      </c>
      <c r="AV18" s="5">
        <f t="shared" si="53"/>
        <v>3200.5781677155856</v>
      </c>
      <c r="AW18" s="5">
        <f t="shared" si="53"/>
        <v>3232.5839493927415</v>
      </c>
      <c r="AX18" s="5">
        <f t="shared" si="53"/>
        <v>3264.909788886669</v>
      </c>
      <c r="AY18" s="5">
        <f t="shared" si="53"/>
        <v>3297.5588867755359</v>
      </c>
      <c r="AZ18" s="5">
        <f t="shared" si="53"/>
        <v>3330.5344756432914</v>
      </c>
      <c r="BA18" s="5">
        <f t="shared" si="53"/>
        <v>3363.8398203997244</v>
      </c>
      <c r="BB18" s="5">
        <f t="shared" si="53"/>
        <v>3397.4782186037219</v>
      </c>
      <c r="BC18" s="5">
        <f t="shared" si="53"/>
        <v>3431.4530007897592</v>
      </c>
      <c r="BD18" s="5">
        <f t="shared" si="53"/>
        <v>3465.7675307976569</v>
      </c>
      <c r="BE18" s="5">
        <f t="shared" si="53"/>
        <v>3500.4252061056336</v>
      </c>
      <c r="BF18" s="5">
        <f t="shared" si="53"/>
        <v>3535.42945816669</v>
      </c>
      <c r="BG18" s="5">
        <f t="shared" si="53"/>
        <v>3570.7837527483571</v>
      </c>
      <c r="BH18" s="5">
        <f t="shared" si="53"/>
        <v>3606.4915902758407</v>
      </c>
      <c r="BI18" s="5">
        <f t="shared" si="53"/>
        <v>3642.5565061785992</v>
      </c>
      <c r="BJ18" s="5">
        <f t="shared" si="53"/>
        <v>3678.9820712403853</v>
      </c>
      <c r="BK18" s="5">
        <f t="shared" si="53"/>
        <v>3715.7718919527892</v>
      </c>
      <c r="BL18" s="5">
        <f t="shared" si="53"/>
        <v>3752.929610872317</v>
      </c>
      <c r="BM18" s="5">
        <f t="shared" si="53"/>
        <v>3790.4589069810404</v>
      </c>
      <c r="BN18" s="5">
        <f t="shared" si="53"/>
        <v>3828.3634960508507</v>
      </c>
      <c r="BO18" s="5">
        <f t="shared" si="53"/>
        <v>3866.6471310113593</v>
      </c>
      <c r="BP18" s="5">
        <f t="shared" si="53"/>
        <v>3905.3136023214729</v>
      </c>
      <c r="BQ18" s="5">
        <f t="shared" si="53"/>
        <v>3944.3667383446877</v>
      </c>
      <c r="BR18" s="5">
        <f t="shared" si="53"/>
        <v>3983.8104057281348</v>
      </c>
      <c r="BS18" s="5">
        <f t="shared" si="53"/>
        <v>4023.6485097854161</v>
      </c>
      <c r="BT18" s="5">
        <f t="shared" si="53"/>
        <v>4063.8849948832703</v>
      </c>
      <c r="BU18" s="5">
        <f t="shared" si="53"/>
        <v>4104.5238448321034</v>
      </c>
      <c r="BV18" s="5">
        <f t="shared" si="53"/>
        <v>4145.5690832804248</v>
      </c>
      <c r="BW18" s="5">
        <f t="shared" si="53"/>
        <v>4187.0247741132289</v>
      </c>
      <c r="BX18" s="5">
        <f t="shared" si="53"/>
        <v>4228.8950218543614</v>
      </c>
      <c r="BY18" s="5">
        <f t="shared" si="53"/>
        <v>4271.1839720729049</v>
      </c>
      <c r="BZ18" s="5">
        <f t="shared" si="53"/>
        <v>4313.8958117936336</v>
      </c>
      <c r="CA18" s="5">
        <f t="shared" si="53"/>
        <v>4357.03476991157</v>
      </c>
      <c r="CB18" s="5">
        <f t="shared" si="53"/>
        <v>4400.6051176106857</v>
      </c>
      <c r="CC18" s="5">
        <f t="shared" si="53"/>
        <v>4444.6111687867924</v>
      </c>
      <c r="CD18" s="5">
        <f t="shared" si="53"/>
        <v>4489.0572804746607</v>
      </c>
      <c r="CE18" s="5">
        <f t="shared" si="53"/>
        <v>4533.9478532794074</v>
      </c>
      <c r="CF18" s="5">
        <f t="shared" si="53"/>
        <v>4579.287331812201</v>
      </c>
      <c r="CG18" s="5">
        <f t="shared" si="53"/>
        <v>4625.0802051303235</v>
      </c>
      <c r="CH18" s="5">
        <f t="shared" si="53"/>
        <v>4671.3310071816268</v>
      </c>
      <c r="CI18" s="5">
        <f t="shared" si="53"/>
        <v>4718.0443172534433</v>
      </c>
      <c r="CJ18" s="5">
        <f t="shared" si="53"/>
        <v>4765.2247604259774</v>
      </c>
      <c r="CK18" s="5">
        <f t="shared" ref="CK18:CZ18" si="54">CJ18*(1+$Z$3)</f>
        <v>4812.8770080302374</v>
      </c>
      <c r="CL18" s="5">
        <f t="shared" si="54"/>
        <v>4861.0057781105397</v>
      </c>
      <c r="CM18" s="5">
        <f t="shared" si="54"/>
        <v>4909.6158358916455</v>
      </c>
      <c r="CN18" s="5">
        <f t="shared" si="54"/>
        <v>4958.7119942505624</v>
      </c>
      <c r="CO18" s="5">
        <f t="shared" si="54"/>
        <v>5008.2991141930679</v>
      </c>
      <c r="CP18" s="5">
        <f t="shared" si="54"/>
        <v>5058.3821053349984</v>
      </c>
      <c r="CQ18" s="5">
        <f t="shared" si="54"/>
        <v>5108.9659263883486</v>
      </c>
      <c r="CR18" s="5">
        <f t="shared" si="54"/>
        <v>5160.0555856522324</v>
      </c>
      <c r="CS18" s="5">
        <f t="shared" si="54"/>
        <v>5211.6561415087544</v>
      </c>
      <c r="CT18" s="5">
        <f t="shared" si="54"/>
        <v>5263.7727029238422</v>
      </c>
      <c r="CU18" s="5">
        <f t="shared" si="54"/>
        <v>5316.4104299530809</v>
      </c>
      <c r="CV18" s="5">
        <f t="shared" si="54"/>
        <v>5369.5745342526116</v>
      </c>
      <c r="CW18" s="5">
        <f t="shared" si="54"/>
        <v>5423.2702795951382</v>
      </c>
      <c r="CX18" s="5">
        <f t="shared" si="54"/>
        <v>5477.50298239109</v>
      </c>
      <c r="CY18" s="5">
        <f t="shared" si="54"/>
        <v>5532.2780122150007</v>
      </c>
      <c r="CZ18" s="5">
        <f t="shared" si="54"/>
        <v>5587.6007923371508</v>
      </c>
    </row>
    <row r="19" spans="1:104" x14ac:dyDescent="0.25">
      <c r="A19" s="2" t="s">
        <v>25</v>
      </c>
      <c r="B19" s="3">
        <v>161.928</v>
      </c>
      <c r="C19" s="3">
        <v>162.13200000000001</v>
      </c>
      <c r="D19" s="3">
        <v>162.29499999999999</v>
      </c>
      <c r="E19" s="3">
        <v>162.43700000000001</v>
      </c>
      <c r="F19" s="3">
        <v>162.52099999999999</v>
      </c>
      <c r="G19" s="3">
        <v>163.28399999999999</v>
      </c>
      <c r="H19" s="3">
        <v>163.761</v>
      </c>
      <c r="I19" s="3">
        <v>164.071</v>
      </c>
      <c r="J19" s="3">
        <v>164.39400000000001</v>
      </c>
      <c r="K19" s="3">
        <v>164.56399999999999</v>
      </c>
      <c r="L19" s="3"/>
      <c r="M19" s="3"/>
      <c r="N19" s="3">
        <v>160.732</v>
      </c>
      <c r="O19" s="3">
        <v>162.27699999999999</v>
      </c>
      <c r="P19" s="3">
        <v>162.43700000000001</v>
      </c>
      <c r="Q19" s="3">
        <f>P19*1.01</f>
        <v>164.06137000000001</v>
      </c>
      <c r="R19" s="3">
        <f t="shared" ref="R19" si="55">Q19*1.01</f>
        <v>165.7019837</v>
      </c>
      <c r="S19" s="3">
        <f>R19*0.995</f>
        <v>164.8734737815</v>
      </c>
      <c r="T19" s="3">
        <f t="shared" ref="T19:W19" si="56">S19*0.995</f>
        <v>164.04910641259249</v>
      </c>
      <c r="U19" s="3">
        <f t="shared" si="56"/>
        <v>163.22886088052954</v>
      </c>
      <c r="V19" s="3">
        <f t="shared" si="56"/>
        <v>162.41271657612688</v>
      </c>
      <c r="W19" s="3">
        <f t="shared" si="56"/>
        <v>161.60065299324626</v>
      </c>
    </row>
    <row r="20" spans="1:104" x14ac:dyDescent="0.25">
      <c r="A20" s="2" t="s">
        <v>26</v>
      </c>
      <c r="B20" s="7">
        <f t="shared" ref="B20:G20" si="57">B18/B19</f>
        <v>0.61826861321080995</v>
      </c>
      <c r="C20" s="7">
        <f t="shared" si="57"/>
        <v>0.5588101053462613</v>
      </c>
      <c r="D20" s="7">
        <f t="shared" si="57"/>
        <v>0.66827074155087962</v>
      </c>
      <c r="E20" s="7">
        <f t="shared" si="57"/>
        <v>1.1606530531836965</v>
      </c>
      <c r="F20" s="7">
        <f t="shared" si="57"/>
        <v>0.80925541929966005</v>
      </c>
      <c r="G20" s="7">
        <f t="shared" si="57"/>
        <v>0.68364322285098345</v>
      </c>
      <c r="H20" s="7">
        <f>H18/H19</f>
        <v>0.82533692393182745</v>
      </c>
      <c r="I20" s="7">
        <f t="shared" ref="I20" si="58">I18/I19</f>
        <v>0.89837936015505504</v>
      </c>
      <c r="J20" s="7">
        <f t="shared" ref="J20:K20" si="59">J18/J19</f>
        <v>0.98339355450928867</v>
      </c>
      <c r="K20" s="7">
        <f t="shared" si="59"/>
        <v>1.0393585474344329</v>
      </c>
      <c r="L20" s="7"/>
      <c r="M20" s="7" t="e">
        <f t="shared" ref="M20:V20" si="60">M18/M19</f>
        <v>#DIV/0!</v>
      </c>
      <c r="N20" s="7">
        <f t="shared" si="60"/>
        <v>2.36417141577284</v>
      </c>
      <c r="O20" s="7">
        <f t="shared" si="60"/>
        <v>2.6337065634686381</v>
      </c>
      <c r="P20" s="7">
        <f t="shared" si="60"/>
        <v>3.0024317119868003</v>
      </c>
      <c r="Q20" s="7">
        <f t="shared" si="60"/>
        <v>4.5804332510450205</v>
      </c>
      <c r="R20" s="7">
        <f t="shared" si="60"/>
        <v>5.6598278801957385</v>
      </c>
      <c r="S20" s="7">
        <f t="shared" si="60"/>
        <v>7.0867456994470324</v>
      </c>
      <c r="T20" s="7">
        <f t="shared" si="60"/>
        <v>8.6604772849089038</v>
      </c>
      <c r="U20" s="7">
        <f t="shared" si="60"/>
        <v>10.54021218746473</v>
      </c>
      <c r="V20" s="7">
        <f t="shared" si="60"/>
        <v>12.780173748450762</v>
      </c>
      <c r="W20" s="7">
        <f t="shared" ref="W20" si="61">W18/W19</f>
        <v>15.443686694903276</v>
      </c>
    </row>
    <row r="22" spans="1:104" x14ac:dyDescent="0.25">
      <c r="A22" s="1" t="s">
        <v>83</v>
      </c>
      <c r="B22" s="8"/>
      <c r="C22" s="8"/>
      <c r="D22" s="8"/>
      <c r="E22" s="8"/>
      <c r="F22" s="8">
        <f t="shared" ref="F22:G22" si="62">F4/B4-1</f>
        <v>4.2017255920586472E-2</v>
      </c>
      <c r="G22" s="8">
        <f t="shared" si="62"/>
        <v>0.10483922293895009</v>
      </c>
      <c r="H22" s="8">
        <f>H4/D4-1</f>
        <v>0.11614716004859238</v>
      </c>
      <c r="I22" s="8">
        <f>I4/E4-1</f>
        <v>0.11932962837400085</v>
      </c>
      <c r="J22" s="8">
        <f>J4/F4-1</f>
        <v>0.23563387640716282</v>
      </c>
      <c r="K22" s="8">
        <f t="shared" ref="K22" si="63">K4/G4-1</f>
        <v>0.14563259773815074</v>
      </c>
      <c r="M22" s="8">
        <f t="shared" ref="M22" si="64">M4/J4-1</f>
        <v>-1</v>
      </c>
      <c r="N22" s="8" t="e">
        <f>N4/M4-1</f>
        <v>#DIV/0!</v>
      </c>
      <c r="O22" s="8">
        <f t="shared" ref="O22:W22" si="65">O4/N4-1</f>
        <v>0.26326951153836431</v>
      </c>
      <c r="P22" s="8">
        <f t="shared" si="65"/>
        <v>0.16440824583404701</v>
      </c>
      <c r="Q22" s="8">
        <f t="shared" si="65"/>
        <v>0.14629084109027124</v>
      </c>
      <c r="R22" s="8">
        <f t="shared" si="65"/>
        <v>0.15510177828627381</v>
      </c>
      <c r="S22" s="8">
        <f t="shared" si="65"/>
        <v>0.14297072259205867</v>
      </c>
      <c r="T22" s="8">
        <f t="shared" si="65"/>
        <v>0.14658674637565494</v>
      </c>
      <c r="U22" s="8">
        <f t="shared" si="65"/>
        <v>0.14663612316494867</v>
      </c>
      <c r="V22" s="8">
        <f t="shared" si="65"/>
        <v>0.14668492842078273</v>
      </c>
      <c r="W22" s="8">
        <f t="shared" si="65"/>
        <v>0.14673316462816466</v>
      </c>
    </row>
    <row r="23" spans="1:104" x14ac:dyDescent="0.25">
      <c r="A23" s="1" t="s">
        <v>28</v>
      </c>
      <c r="B23" s="8">
        <f t="shared" ref="B23:J23" si="66">B9/B4</f>
        <v>0.7237884625283606</v>
      </c>
      <c r="C23" s="8">
        <f t="shared" si="66"/>
        <v>0.71609155812795533</v>
      </c>
      <c r="D23" s="8">
        <f t="shared" si="66"/>
        <v>0.72136014961500938</v>
      </c>
      <c r="E23" s="8">
        <f t="shared" si="66"/>
        <v>0.70834716332764758</v>
      </c>
      <c r="F23" s="8">
        <f t="shared" si="66"/>
        <v>0.68334584144777466</v>
      </c>
      <c r="G23" s="8">
        <f t="shared" si="66"/>
        <v>0.71363801939938154</v>
      </c>
      <c r="H23" s="8">
        <f t="shared" si="66"/>
        <v>0.72801193826489641</v>
      </c>
      <c r="I23" s="8">
        <f t="shared" si="66"/>
        <v>0.72419436172135909</v>
      </c>
      <c r="J23" s="8">
        <f t="shared" si="66"/>
        <v>0.73262806664155178</v>
      </c>
      <c r="K23" s="8">
        <f t="shared" ref="K23" si="67">K9/K4</f>
        <v>0.74803787743222594</v>
      </c>
      <c r="M23" s="8" t="e">
        <f t="shared" ref="M23:W23" si="68">M9/M4</f>
        <v>#DIV/0!</v>
      </c>
      <c r="N23" s="8">
        <f t="shared" si="68"/>
        <v>0.72088140558567548</v>
      </c>
      <c r="O23" s="8">
        <f t="shared" si="68"/>
        <v>0.72785592213432526</v>
      </c>
      <c r="P23" s="8">
        <f t="shared" si="68"/>
        <v>0.71722133026458657</v>
      </c>
      <c r="Q23" s="8">
        <f t="shared" si="68"/>
        <v>0.72864082520881035</v>
      </c>
      <c r="R23" s="8">
        <f t="shared" si="68"/>
        <v>0.74158546209394616</v>
      </c>
      <c r="S23" s="8">
        <f t="shared" si="68"/>
        <v>0.75130072356357791</v>
      </c>
      <c r="T23" s="8">
        <f t="shared" si="68"/>
        <v>0.76140557620710958</v>
      </c>
      <c r="U23" s="8">
        <f t="shared" si="68"/>
        <v>0.77110971748582857</v>
      </c>
      <c r="V23" s="8">
        <f t="shared" si="68"/>
        <v>0.78042851656527856</v>
      </c>
      <c r="W23" s="8">
        <f t="shared" si="68"/>
        <v>0.78937677985749144</v>
      </c>
    </row>
    <row r="24" spans="1:104" x14ac:dyDescent="0.25">
      <c r="A24" s="2" t="s">
        <v>31</v>
      </c>
      <c r="B24" s="9">
        <f t="shared" ref="B24:K24" si="69">B7/B2</f>
        <v>0.85358093743169938</v>
      </c>
      <c r="C24" s="9">
        <f t="shared" si="69"/>
        <v>0.85061203922090112</v>
      </c>
      <c r="D24" s="9">
        <f t="shared" si="69"/>
        <v>0.85113538314510306</v>
      </c>
      <c r="E24" s="9">
        <f t="shared" si="69"/>
        <v>0.85023861680488189</v>
      </c>
      <c r="F24" s="9">
        <f t="shared" si="69"/>
        <v>0.83699034606533418</v>
      </c>
      <c r="G24" s="9">
        <f t="shared" si="69"/>
        <v>0.84878154501239811</v>
      </c>
      <c r="H24" s="9">
        <f t="shared" si="69"/>
        <v>0.84959952476399847</v>
      </c>
      <c r="I24" s="9">
        <f t="shared" si="69"/>
        <v>0.85158524097887234</v>
      </c>
      <c r="J24" s="9">
        <f t="shared" si="69"/>
        <v>0.85364309726475074</v>
      </c>
      <c r="K24" s="9">
        <f t="shared" si="69"/>
        <v>0.8596218979220599</v>
      </c>
      <c r="M24" s="9" t="e">
        <f t="shared" ref="M24:W24" si="70">M7/M2</f>
        <v>#DIV/0!</v>
      </c>
      <c r="N24" s="9">
        <f t="shared" si="70"/>
        <v>0.84350047393525662</v>
      </c>
      <c r="O24" s="9">
        <f t="shared" si="70"/>
        <v>0.84844027127123345</v>
      </c>
      <c r="P24" s="9">
        <f t="shared" si="70"/>
        <v>0.85133600538256737</v>
      </c>
      <c r="Q24" s="9">
        <f t="shared" si="70"/>
        <v>0.85902552234553797</v>
      </c>
      <c r="R24" s="9">
        <f t="shared" si="70"/>
        <v>0.86745989280349722</v>
      </c>
      <c r="S24" s="9">
        <f t="shared" si="70"/>
        <v>0.87322250615986685</v>
      </c>
      <c r="T24" s="9">
        <f t="shared" si="70"/>
        <v>0.87873457110943787</v>
      </c>
      <c r="U24" s="9">
        <f t="shared" si="70"/>
        <v>0.88400698106120146</v>
      </c>
      <c r="V24" s="9">
        <f t="shared" si="70"/>
        <v>0.88905015579767088</v>
      </c>
      <c r="W24" s="9">
        <f t="shared" si="70"/>
        <v>0.89387406206733744</v>
      </c>
    </row>
    <row r="25" spans="1:104" x14ac:dyDescent="0.25">
      <c r="A25" s="2" t="s">
        <v>32</v>
      </c>
      <c r="B25" s="9">
        <f t="shared" ref="B25:K25" si="71">B8/B3</f>
        <v>0.21379916072996977</v>
      </c>
      <c r="C25" s="9">
        <f t="shared" si="71"/>
        <v>0.16988888783639139</v>
      </c>
      <c r="D25" s="9">
        <f t="shared" si="71"/>
        <v>0.20408550125471642</v>
      </c>
      <c r="E25" s="9">
        <f t="shared" si="71"/>
        <v>7.5903019266348959E-2</v>
      </c>
      <c r="F25" s="9">
        <f t="shared" si="71"/>
        <v>0.1135365319067088</v>
      </c>
      <c r="G25" s="9">
        <f t="shared" si="71"/>
        <v>0.18178245308893862</v>
      </c>
      <c r="H25" s="9">
        <f t="shared" si="71"/>
        <v>0.23312197248196856</v>
      </c>
      <c r="I25" s="9">
        <f t="shared" si="71"/>
        <v>0.11537756598240471</v>
      </c>
      <c r="J25" s="9">
        <f t="shared" si="71"/>
        <v>0.17745510782713289</v>
      </c>
      <c r="K25" s="9">
        <f t="shared" si="71"/>
        <v>0.20297813827194872</v>
      </c>
      <c r="M25" s="9" t="e">
        <f t="shared" ref="M25:W25" si="72">M8/M3</f>
        <v>#DIV/0!</v>
      </c>
      <c r="N25" s="9">
        <f t="shared" si="72"/>
        <v>0.21445254094256319</v>
      </c>
      <c r="O25" s="9">
        <f t="shared" si="72"/>
        <v>0.24000479824209855</v>
      </c>
      <c r="P25" s="9">
        <f t="shared" si="72"/>
        <v>0.16653635282354562</v>
      </c>
      <c r="Q25" s="9">
        <f t="shared" si="72"/>
        <v>0.15888989734486253</v>
      </c>
      <c r="R25" s="9">
        <f t="shared" si="72"/>
        <v>0.15117329089848522</v>
      </c>
      <c r="S25" s="9">
        <f t="shared" si="72"/>
        <v>0.15882037836786814</v>
      </c>
      <c r="T25" s="9">
        <f t="shared" si="72"/>
        <v>0.18115258071208373</v>
      </c>
      <c r="U25" s="9">
        <f t="shared" si="72"/>
        <v>0.20289189272857699</v>
      </c>
      <c r="V25" s="9">
        <f t="shared" si="72"/>
        <v>0.22405405486852606</v>
      </c>
      <c r="W25" s="9">
        <f t="shared" si="72"/>
        <v>0.24465438969502523</v>
      </c>
    </row>
    <row r="26" spans="1:104" x14ac:dyDescent="0.25">
      <c r="A26" s="2" t="s">
        <v>29</v>
      </c>
      <c r="B26" s="9">
        <f t="shared" ref="B26:J26" si="73">B14/B4</f>
        <v>0.25276478810220515</v>
      </c>
      <c r="C26" s="9">
        <f t="shared" si="73"/>
        <v>0.18923360875148357</v>
      </c>
      <c r="D26" s="9">
        <f t="shared" si="73"/>
        <v>0.21979502164384604</v>
      </c>
      <c r="E26" s="9">
        <f t="shared" si="73"/>
        <v>0.19333533313571988</v>
      </c>
      <c r="F26" s="9">
        <f t="shared" si="73"/>
        <v>0.11690495416330218</v>
      </c>
      <c r="G26" s="9">
        <f t="shared" si="73"/>
        <v>0.17628700919141002</v>
      </c>
      <c r="H26" s="9">
        <f t="shared" si="73"/>
        <v>0.20841517911452459</v>
      </c>
      <c r="I26" s="9">
        <f t="shared" si="73"/>
        <v>0.2144943531583304</v>
      </c>
      <c r="J26" s="9">
        <f t="shared" si="73"/>
        <v>0.2385995125664071</v>
      </c>
      <c r="K26" s="9">
        <f t="shared" ref="K26" si="74">K14/K4</f>
        <v>0.24621661951459745</v>
      </c>
      <c r="M26" s="9" t="e">
        <f t="shared" ref="M26:W26" si="75">M14/M4</f>
        <v>#DIV/0!</v>
      </c>
      <c r="N26" s="9">
        <f t="shared" si="75"/>
        <v>0.25786771817573101</v>
      </c>
      <c r="O26" s="9">
        <f t="shared" si="75"/>
        <v>0.27312636800651841</v>
      </c>
      <c r="P26" s="9">
        <f t="shared" si="75"/>
        <v>0.21302933561014539</v>
      </c>
      <c r="Q26" s="9">
        <f t="shared" si="75"/>
        <v>0.2391244193670119</v>
      </c>
      <c r="R26" s="9">
        <f t="shared" si="75"/>
        <v>0.26641954845853938</v>
      </c>
      <c r="S26" s="9">
        <f t="shared" si="75"/>
        <v>0.29726756821604872</v>
      </c>
      <c r="T26" s="9">
        <f t="shared" si="75"/>
        <v>0.31861354828740457</v>
      </c>
      <c r="U26" s="9">
        <f t="shared" si="75"/>
        <v>0.33896794534046587</v>
      </c>
      <c r="V26" s="9">
        <f t="shared" si="75"/>
        <v>0.35837863210953974</v>
      </c>
      <c r="W26" s="9">
        <f t="shared" si="75"/>
        <v>0.37689106045215659</v>
      </c>
    </row>
    <row r="27" spans="1:104" x14ac:dyDescent="0.25">
      <c r="A27" s="2" t="s">
        <v>30</v>
      </c>
      <c r="B27" s="9">
        <f t="shared" ref="B27:J27" si="76">B18/B4</f>
        <v>0.19820749076424177</v>
      </c>
      <c r="C27" s="9">
        <f t="shared" si="76"/>
        <v>0.16959555836755791</v>
      </c>
      <c r="D27" s="9">
        <f t="shared" si="76"/>
        <v>0.19635521615784166</v>
      </c>
      <c r="E27" s="9">
        <f t="shared" si="76"/>
        <v>0.33464089643212785</v>
      </c>
      <c r="F27" s="9">
        <f t="shared" si="76"/>
        <v>0.24988552700327751</v>
      </c>
      <c r="G27" s="9">
        <f t="shared" si="76"/>
        <v>0.18912787496293781</v>
      </c>
      <c r="H27" s="9">
        <f t="shared" si="76"/>
        <v>0.2192326096300922</v>
      </c>
      <c r="I27" s="9">
        <f t="shared" si="76"/>
        <v>0.2337357956797935</v>
      </c>
      <c r="J27" s="9">
        <f t="shared" si="76"/>
        <v>0.24858190652653592</v>
      </c>
      <c r="K27" s="9">
        <f t="shared" ref="K27" si="77">K18/K4</f>
        <v>0.25295150263021293</v>
      </c>
      <c r="M27" s="9" t="e">
        <f t="shared" ref="M27:W27" si="78">M18/M4</f>
        <v>#DIV/0!</v>
      </c>
      <c r="N27" s="9">
        <f t="shared" si="78"/>
        <v>0.25937208418170071</v>
      </c>
      <c r="O27" s="9">
        <f t="shared" si="78"/>
        <v>0.23092463327564594</v>
      </c>
      <c r="P27" s="9">
        <f t="shared" si="78"/>
        <v>0.22630738819336813</v>
      </c>
      <c r="Q27" s="9">
        <f t="shared" si="78"/>
        <v>0.3041996458329132</v>
      </c>
      <c r="R27" s="9">
        <f t="shared" si="78"/>
        <v>0.32866729527812327</v>
      </c>
      <c r="S27" s="9">
        <f t="shared" si="78"/>
        <v>0.35825156006333869</v>
      </c>
      <c r="T27" s="9">
        <f t="shared" si="78"/>
        <v>0.37992618941617873</v>
      </c>
      <c r="U27" s="9">
        <f t="shared" si="78"/>
        <v>0.40123999831915352</v>
      </c>
      <c r="V27" s="9">
        <f t="shared" si="78"/>
        <v>0.42215370058192664</v>
      </c>
      <c r="W27" s="9">
        <f t="shared" si="78"/>
        <v>0.4426347772014117</v>
      </c>
    </row>
    <row r="29" spans="1:104" x14ac:dyDescent="0.25">
      <c r="A29" s="2" t="s">
        <v>33</v>
      </c>
      <c r="B29" s="3">
        <v>481.02699999999999</v>
      </c>
      <c r="C29" s="3">
        <v>93.385999999999996</v>
      </c>
      <c r="D29" s="3">
        <v>142.66</v>
      </c>
      <c r="E29" s="3"/>
      <c r="F29" s="3">
        <v>505.93599999999998</v>
      </c>
      <c r="G29" s="3">
        <v>265.036</v>
      </c>
      <c r="H29" s="3">
        <v>82.597999999999999</v>
      </c>
      <c r="I29" s="3">
        <v>57.768999999999998</v>
      </c>
      <c r="J29" s="3">
        <v>763.51599999999996</v>
      </c>
      <c r="K29" s="3">
        <f>856.39-J29</f>
        <v>92.874000000000024</v>
      </c>
      <c r="L29" s="3"/>
      <c r="M29" s="3"/>
      <c r="N29" s="3">
        <v>551.24599999999998</v>
      </c>
      <c r="O29" s="3">
        <v>764.46299999999997</v>
      </c>
      <c r="P29" s="3">
        <v>780.47</v>
      </c>
    </row>
    <row r="30" spans="1:104" x14ac:dyDescent="0.25">
      <c r="A30" s="2" t="s">
        <v>34</v>
      </c>
      <c r="B30" s="3">
        <v>2.3330000000000002</v>
      </c>
      <c r="C30" s="3">
        <v>1.663</v>
      </c>
      <c r="D30" s="3">
        <v>5.609</v>
      </c>
      <c r="E30" s="3"/>
      <c r="F30" s="3">
        <v>2.9580000000000002</v>
      </c>
      <c r="G30" s="3">
        <v>9.593</v>
      </c>
      <c r="H30" s="3">
        <v>5.91</v>
      </c>
      <c r="I30" s="3">
        <v>7.7350000000000003</v>
      </c>
      <c r="J30" s="3">
        <v>8.4760000000000009</v>
      </c>
      <c r="K30" s="3">
        <f>11.528-J30</f>
        <v>3.0519999999999996</v>
      </c>
      <c r="L30" s="3"/>
      <c r="M30" s="3"/>
      <c r="N30" s="3">
        <v>8.6829999999999998</v>
      </c>
      <c r="O30" s="3">
        <v>14.214</v>
      </c>
      <c r="P30" s="3">
        <v>13.512</v>
      </c>
    </row>
    <row r="31" spans="1:104" x14ac:dyDescent="0.25">
      <c r="A31" s="1" t="s">
        <v>35</v>
      </c>
      <c r="B31" s="5">
        <f t="shared" ref="B31:G31" si="79">B29-B30</f>
        <v>478.69399999999996</v>
      </c>
      <c r="C31" s="5">
        <f t="shared" si="79"/>
        <v>91.722999999999999</v>
      </c>
      <c r="D31" s="5">
        <f t="shared" si="79"/>
        <v>137.05099999999999</v>
      </c>
      <c r="E31" s="5">
        <f t="shared" si="79"/>
        <v>0</v>
      </c>
      <c r="F31" s="5">
        <f t="shared" si="79"/>
        <v>502.97799999999995</v>
      </c>
      <c r="G31" s="5">
        <f t="shared" si="79"/>
        <v>255.44300000000001</v>
      </c>
      <c r="H31" s="5">
        <f>H29-H30</f>
        <v>76.688000000000002</v>
      </c>
      <c r="I31" s="5">
        <f t="shared" ref="I31:K31" si="80">I29-I30</f>
        <v>50.033999999999999</v>
      </c>
      <c r="J31" s="5">
        <f t="shared" si="80"/>
        <v>755.04</v>
      </c>
      <c r="K31" s="5">
        <f t="shared" si="80"/>
        <v>89.822000000000031</v>
      </c>
      <c r="L31" s="3"/>
      <c r="M31" s="5">
        <f t="shared" ref="M31:V31" si="81">M29-M30</f>
        <v>0</v>
      </c>
      <c r="N31" s="5">
        <f t="shared" si="81"/>
        <v>542.56299999999999</v>
      </c>
      <c r="O31" s="5">
        <f t="shared" si="81"/>
        <v>750.24899999999991</v>
      </c>
      <c r="P31" s="5">
        <f t="shared" si="81"/>
        <v>766.95800000000008</v>
      </c>
      <c r="Q31" s="1">
        <f t="shared" si="81"/>
        <v>0</v>
      </c>
      <c r="R31" s="1">
        <f t="shared" si="81"/>
        <v>0</v>
      </c>
      <c r="S31" s="1">
        <f t="shared" si="81"/>
        <v>0</v>
      </c>
      <c r="T31" s="1">
        <f t="shared" si="81"/>
        <v>0</v>
      </c>
      <c r="U31" s="1">
        <f t="shared" si="81"/>
        <v>0</v>
      </c>
      <c r="V31" s="1">
        <f t="shared" si="81"/>
        <v>0</v>
      </c>
    </row>
    <row r="32" spans="1:104" x14ac:dyDescent="0.25">
      <c r="A32" s="2" t="s">
        <v>85</v>
      </c>
      <c r="F32" s="3"/>
      <c r="G32" s="3"/>
      <c r="H32" s="3"/>
      <c r="I32" s="3">
        <f t="shared" ref="I32:J32" si="82">+SUM(F31:I31)</f>
        <v>885.14299999999992</v>
      </c>
      <c r="J32" s="3">
        <f t="shared" si="82"/>
        <v>1137.2049999999999</v>
      </c>
      <c r="K32" s="3">
        <f>+SUM(H31:K31)</f>
        <v>971.58399999999995</v>
      </c>
    </row>
    <row r="34" spans="1:23" x14ac:dyDescent="0.25">
      <c r="A34" s="2" t="s">
        <v>66</v>
      </c>
      <c r="N34" s="2">
        <v>993</v>
      </c>
      <c r="O34" s="2">
        <v>1205</v>
      </c>
      <c r="P34" s="2">
        <v>1388</v>
      </c>
      <c r="Q34" s="3"/>
      <c r="R34" s="3"/>
      <c r="S34" s="3"/>
      <c r="T34" s="3"/>
      <c r="U34" s="3"/>
      <c r="V34" s="3"/>
      <c r="W34" s="3"/>
    </row>
    <row r="35" spans="1:23" x14ac:dyDescent="0.25">
      <c r="A35" s="2" t="s">
        <v>69</v>
      </c>
    </row>
    <row r="37" spans="1:23" x14ac:dyDescent="0.25">
      <c r="A37" s="2" t="s">
        <v>87</v>
      </c>
      <c r="J37" s="3">
        <f>1165.754+3719.324</f>
        <v>4885.0779999999995</v>
      </c>
      <c r="K37" s="3"/>
      <c r="L37" s="3"/>
      <c r="M37" s="3"/>
      <c r="N37" s="3"/>
      <c r="O37" s="3"/>
      <c r="P37" s="3">
        <f>+main!B5</f>
        <v>4885.0779999999995</v>
      </c>
      <c r="Q37" s="3">
        <f>+P37+Q18</f>
        <v>5636.5501543599994</v>
      </c>
      <c r="R37" s="3">
        <f t="shared" ref="R37:W37" si="83">+Q37+R18</f>
        <v>6574.3948615089994</v>
      </c>
      <c r="S37" s="3">
        <f t="shared" si="83"/>
        <v>7742.8112427829374</v>
      </c>
      <c r="T37" s="3">
        <f t="shared" si="83"/>
        <v>9163.5548024787986</v>
      </c>
      <c r="U37" s="3">
        <f t="shared" si="83"/>
        <v>10884.021631277741</v>
      </c>
      <c r="V37" s="3">
        <f t="shared" si="83"/>
        <v>12959.684368078531</v>
      </c>
      <c r="W37" s="3">
        <f t="shared" si="83"/>
        <v>15455.39422259801</v>
      </c>
    </row>
    <row r="39" spans="1:23" x14ac:dyDescent="0.25">
      <c r="A39" s="2" t="s">
        <v>36</v>
      </c>
    </row>
    <row r="40" spans="1:23" x14ac:dyDescent="0.25">
      <c r="A40" s="2" t="s">
        <v>4</v>
      </c>
      <c r="C40" s="3">
        <f>886.465+2216.163</f>
        <v>3102.6280000000002</v>
      </c>
      <c r="D40" s="3"/>
      <c r="E40" s="3"/>
      <c r="F40" s="3"/>
      <c r="G40" s="3">
        <f>742.607+3126.132</f>
        <v>3868.739</v>
      </c>
      <c r="H40" s="3">
        <f>743.712+3198.57</f>
        <v>3942.2820000000002</v>
      </c>
    </row>
    <row r="41" spans="1:23" x14ac:dyDescent="0.25">
      <c r="A41" s="2" t="s">
        <v>37</v>
      </c>
      <c r="C41" s="3"/>
      <c r="D41" s="3"/>
      <c r="E41" s="3"/>
      <c r="F41" s="3"/>
      <c r="G41" s="3"/>
      <c r="H41" s="3">
        <f>255.504+44.837</f>
        <v>300.34100000000001</v>
      </c>
    </row>
    <row r="42" spans="1:23" x14ac:dyDescent="0.25">
      <c r="A42" s="2" t="s">
        <v>38</v>
      </c>
      <c r="C42" s="3"/>
      <c r="D42" s="3"/>
      <c r="E42" s="3"/>
      <c r="F42" s="3"/>
      <c r="G42" s="3"/>
      <c r="H42" s="3">
        <v>93.135000000000005</v>
      </c>
    </row>
    <row r="43" spans="1:23" x14ac:dyDescent="0.25">
      <c r="A43" s="2" t="s">
        <v>39</v>
      </c>
      <c r="C43" s="3"/>
      <c r="D43" s="3"/>
      <c r="E43" s="3"/>
      <c r="F43" s="3"/>
      <c r="G43" s="3"/>
      <c r="H43" s="3">
        <v>57.597000000000001</v>
      </c>
    </row>
    <row r="44" spans="1:23" x14ac:dyDescent="0.25">
      <c r="A44" s="2" t="s">
        <v>40</v>
      </c>
      <c r="C44" s="3"/>
      <c r="D44" s="3"/>
      <c r="E44" s="3"/>
      <c r="F44" s="3"/>
      <c r="G44" s="3"/>
      <c r="H44" s="3">
        <v>19.733000000000001</v>
      </c>
    </row>
    <row r="45" spans="1:23" x14ac:dyDescent="0.25">
      <c r="A45" s="2" t="s">
        <v>41</v>
      </c>
      <c r="C45" s="3"/>
      <c r="D45" s="3"/>
      <c r="E45" s="3"/>
      <c r="F45" s="3"/>
      <c r="G45" s="3"/>
      <c r="H45" s="3">
        <v>48.139000000000003</v>
      </c>
    </row>
    <row r="46" spans="1:23" x14ac:dyDescent="0.25">
      <c r="A46" s="2" t="s">
        <v>42</v>
      </c>
      <c r="C46" s="3"/>
      <c r="D46" s="3"/>
      <c r="E46" s="3"/>
      <c r="F46" s="3"/>
      <c r="G46" s="3"/>
      <c r="H46" s="3">
        <f>439.877+67.919</f>
        <v>507.79599999999999</v>
      </c>
    </row>
    <row r="47" spans="1:23" x14ac:dyDescent="0.25">
      <c r="A47" s="2" t="s">
        <v>43</v>
      </c>
      <c r="C47" s="3"/>
      <c r="D47" s="3"/>
      <c r="E47" s="3"/>
      <c r="F47" s="3"/>
      <c r="G47" s="3"/>
      <c r="H47" s="3">
        <v>218.34800000000001</v>
      </c>
    </row>
    <row r="48" spans="1:23" x14ac:dyDescent="0.25">
      <c r="A48" s="2" t="s">
        <v>44</v>
      </c>
      <c r="C48" s="3"/>
      <c r="D48" s="3"/>
      <c r="E48" s="3"/>
      <c r="F48" s="3"/>
      <c r="G48" s="3"/>
      <c r="H48" s="3">
        <v>38.401000000000003</v>
      </c>
    </row>
    <row r="49" spans="1:8" x14ac:dyDescent="0.25">
      <c r="A49" s="1" t="s">
        <v>45</v>
      </c>
      <c r="B49" s="1"/>
      <c r="C49" s="5"/>
      <c r="D49" s="5"/>
      <c r="E49" s="5"/>
      <c r="F49" s="5"/>
      <c r="G49" s="5"/>
      <c r="H49" s="5">
        <f>SUM(H40:H48)</f>
        <v>5225.7720000000008</v>
      </c>
    </row>
    <row r="50" spans="1:8" x14ac:dyDescent="0.25">
      <c r="C50" s="3"/>
      <c r="D50" s="3"/>
      <c r="E50" s="3"/>
      <c r="F50" s="3"/>
      <c r="G50" s="3"/>
      <c r="H50" s="3"/>
    </row>
    <row r="51" spans="1:8" x14ac:dyDescent="0.25">
      <c r="A51" s="2" t="s">
        <v>46</v>
      </c>
      <c r="C51" s="3"/>
      <c r="D51" s="3"/>
      <c r="E51" s="3"/>
      <c r="F51" s="3"/>
      <c r="G51" s="3"/>
      <c r="H51" s="3">
        <v>36.235999999999997</v>
      </c>
    </row>
    <row r="52" spans="1:8" x14ac:dyDescent="0.25">
      <c r="A52" s="2" t="s">
        <v>47</v>
      </c>
      <c r="C52" s="3"/>
      <c r="D52" s="3"/>
      <c r="E52" s="3"/>
      <c r="F52" s="3"/>
      <c r="G52" s="3"/>
      <c r="H52" s="3">
        <v>38.43</v>
      </c>
    </row>
    <row r="53" spans="1:8" x14ac:dyDescent="0.25">
      <c r="A53" s="2" t="s">
        <v>48</v>
      </c>
      <c r="C53" s="3"/>
      <c r="D53" s="3"/>
      <c r="E53" s="3"/>
      <c r="F53" s="3"/>
      <c r="G53" s="3"/>
      <c r="H53" s="3">
        <v>32.920999999999999</v>
      </c>
    </row>
    <row r="54" spans="1:8" x14ac:dyDescent="0.25">
      <c r="A54" s="2" t="s">
        <v>49</v>
      </c>
      <c r="C54" s="3"/>
      <c r="D54" s="3"/>
      <c r="E54" s="3"/>
      <c r="F54" s="3"/>
      <c r="G54" s="3"/>
      <c r="H54" s="3">
        <f>6.56+1.145</f>
        <v>7.7050000000000001</v>
      </c>
    </row>
    <row r="55" spans="1:8" x14ac:dyDescent="0.25">
      <c r="A55" s="2" t="s">
        <v>50</v>
      </c>
      <c r="C55" s="3"/>
      <c r="D55" s="3"/>
      <c r="E55" s="3"/>
      <c r="F55" s="3"/>
      <c r="G55" s="3"/>
      <c r="H55" s="3">
        <v>644.46299999999997</v>
      </c>
    </row>
    <row r="56" spans="1:8" x14ac:dyDescent="0.25">
      <c r="A56" s="2" t="s">
        <v>51</v>
      </c>
      <c r="C56" s="3"/>
      <c r="D56" s="3"/>
      <c r="E56" s="3"/>
      <c r="F56" s="3"/>
      <c r="G56" s="3"/>
      <c r="H56" s="3">
        <f>9.64+48.026</f>
        <v>57.666000000000004</v>
      </c>
    </row>
    <row r="57" spans="1:8" x14ac:dyDescent="0.25">
      <c r="A57" s="2" t="s">
        <v>52</v>
      </c>
      <c r="C57" s="3"/>
      <c r="D57" s="3"/>
      <c r="E57" s="3"/>
      <c r="F57" s="3"/>
      <c r="G57" s="3"/>
      <c r="H57" s="3">
        <v>28.577999999999999</v>
      </c>
    </row>
    <row r="58" spans="1:8" x14ac:dyDescent="0.25">
      <c r="A58" s="1" t="s">
        <v>53</v>
      </c>
      <c r="B58" s="1"/>
      <c r="C58" s="5"/>
      <c r="D58" s="5"/>
      <c r="E58" s="5"/>
      <c r="F58" s="5"/>
      <c r="G58" s="5"/>
      <c r="H58" s="5">
        <f>SUM(H51:H57)</f>
        <v>845.99900000000002</v>
      </c>
    </row>
    <row r="59" spans="1:8" x14ac:dyDescent="0.25">
      <c r="C59" s="3"/>
      <c r="D59" s="3"/>
      <c r="E59" s="3"/>
      <c r="F59" s="3"/>
      <c r="G59" s="3"/>
      <c r="H59" s="3"/>
    </row>
    <row r="60" spans="1:8" x14ac:dyDescent="0.25">
      <c r="A60" s="1" t="s">
        <v>54</v>
      </c>
      <c r="B60" s="1"/>
      <c r="C60" s="5"/>
      <c r="D60" s="5"/>
      <c r="E60" s="5"/>
      <c r="F60" s="5"/>
      <c r="G60" s="5"/>
      <c r="H60" s="5">
        <f>H49-H58</f>
        <v>4379.773000000001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2023-12-24T12:33:18Z</dcterms:created>
  <dcterms:modified xsi:type="dcterms:W3CDTF">2024-09-25T22:31:41Z</dcterms:modified>
</cp:coreProperties>
</file>