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Desktop/Models/"/>
    </mc:Choice>
  </mc:AlternateContent>
  <xr:revisionPtr revIDLastSave="236" documentId="8_{73991DE8-23D9-4DFE-AF7A-441A5F4D8F5C}" xr6:coauthVersionLast="47" xr6:coauthVersionMax="47" xr10:uidLastSave="{F6972F48-751F-4F2C-89A1-F4AEB97C7765}"/>
  <bookViews>
    <workbookView xWindow="1560" yWindow="1560" windowWidth="21600" windowHeight="11295" activeTab="1" xr2:uid="{3D94C57C-FA4F-4DB8-846E-DBF2EC4EC134}"/>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 l="1" a="1"/>
  <c r="L3" i="1" s="1"/>
  <c r="L5" i="1" s="1"/>
  <c r="L8" i="1" s="1"/>
  <c r="L10" i="1" s="1"/>
  <c r="E30" i="2"/>
  <c r="E29" i="2"/>
  <c r="E28" i="2"/>
  <c r="I30" i="2"/>
  <c r="I29" i="2"/>
  <c r="I28" i="2"/>
  <c r="I26" i="2"/>
  <c r="I25" i="2"/>
  <c r="I24" i="2"/>
  <c r="I23" i="2"/>
  <c r="I22" i="2"/>
  <c r="E17" i="2"/>
  <c r="E15" i="2"/>
  <c r="E14" i="2"/>
  <c r="E11" i="2"/>
  <c r="E10" i="2"/>
  <c r="E12" i="2" s="1"/>
  <c r="E8" i="2"/>
  <c r="E5" i="2"/>
  <c r="E4" i="2"/>
  <c r="E3" i="2"/>
  <c r="E2" i="2"/>
  <c r="C46" i="2"/>
  <c r="C45" i="2"/>
  <c r="C48" i="2" s="1"/>
  <c r="C42" i="2"/>
  <c r="C41" i="2"/>
  <c r="C40" i="2"/>
  <c r="D38" i="2"/>
  <c r="D50" i="2" s="1"/>
  <c r="C37" i="2"/>
  <c r="C36" i="2"/>
  <c r="C34" i="2"/>
  <c r="C33" i="2"/>
  <c r="F26" i="2"/>
  <c r="G25" i="2"/>
  <c r="F25" i="2"/>
  <c r="G24" i="2"/>
  <c r="F24" i="2"/>
  <c r="G23" i="2"/>
  <c r="F23" i="2"/>
  <c r="G22" i="2"/>
  <c r="F22" i="2"/>
  <c r="B30" i="2"/>
  <c r="B29" i="2"/>
  <c r="B28" i="2"/>
  <c r="B37" i="2"/>
  <c r="I17" i="2"/>
  <c r="I15" i="2"/>
  <c r="I14" i="2"/>
  <c r="I11" i="2"/>
  <c r="I10" i="2"/>
  <c r="I12" i="2" s="1"/>
  <c r="I8" i="2"/>
  <c r="I5" i="2"/>
  <c r="I4" i="2"/>
  <c r="I3" i="2"/>
  <c r="I2" i="2"/>
  <c r="D30" i="2"/>
  <c r="D29" i="2"/>
  <c r="D28" i="2"/>
  <c r="H30" i="2"/>
  <c r="H29" i="2"/>
  <c r="H28" i="2"/>
  <c r="H26" i="2"/>
  <c r="H25" i="2"/>
  <c r="H24" i="2"/>
  <c r="H23" i="2"/>
  <c r="H22" i="2"/>
  <c r="Q26" i="2"/>
  <c r="Q25" i="2"/>
  <c r="Q24" i="2"/>
  <c r="Q23" i="2"/>
  <c r="Q22" i="2"/>
  <c r="Q50" i="2"/>
  <c r="R50" i="2"/>
  <c r="P47" i="2"/>
  <c r="Q48" i="2"/>
  <c r="P48" i="2"/>
  <c r="R48" i="2"/>
  <c r="Q43" i="2"/>
  <c r="P43" i="2"/>
  <c r="R43" i="2"/>
  <c r="P37" i="2"/>
  <c r="Q37" i="2"/>
  <c r="R37" i="2"/>
  <c r="Z12" i="2"/>
  <c r="Y12" i="2"/>
  <c r="X12" i="2"/>
  <c r="W12" i="2"/>
  <c r="V12" i="2"/>
  <c r="U12" i="2"/>
  <c r="T12" i="2"/>
  <c r="S12" i="2"/>
  <c r="R12" i="2"/>
  <c r="Q12" i="2"/>
  <c r="P12" i="2"/>
  <c r="Z9" i="2"/>
  <c r="Z13" i="2" s="1"/>
  <c r="Z16" i="2" s="1"/>
  <c r="Z18" i="2" s="1"/>
  <c r="Z20" i="2" s="1"/>
  <c r="X9" i="2"/>
  <c r="T9" i="2"/>
  <c r="R9" i="2"/>
  <c r="R28" i="2" s="1"/>
  <c r="R25" i="2"/>
  <c r="R24" i="2"/>
  <c r="R23" i="2"/>
  <c r="R22" i="2"/>
  <c r="P7" i="2"/>
  <c r="P9" i="2" s="1"/>
  <c r="P28" i="2" s="1"/>
  <c r="Z7" i="2"/>
  <c r="Y7" i="2"/>
  <c r="Y9" i="2" s="1"/>
  <c r="Y13" i="2" s="1"/>
  <c r="Y16" i="2" s="1"/>
  <c r="Y18" i="2" s="1"/>
  <c r="Y20" i="2" s="1"/>
  <c r="X7" i="2"/>
  <c r="W7" i="2"/>
  <c r="W9" i="2" s="1"/>
  <c r="V7" i="2"/>
  <c r="V9" i="2" s="1"/>
  <c r="U7" i="2"/>
  <c r="U9" i="2" s="1"/>
  <c r="T7" i="2"/>
  <c r="S7" i="2"/>
  <c r="S9" i="2" s="1"/>
  <c r="S13" i="2" s="1"/>
  <c r="S16" i="2" s="1"/>
  <c r="S18" i="2" s="1"/>
  <c r="S20" i="2" s="1"/>
  <c r="R7" i="2"/>
  <c r="R26" i="2" s="1"/>
  <c r="Q7" i="2"/>
  <c r="Q9" i="2" s="1"/>
  <c r="Q1" i="2"/>
  <c r="R1" i="2" s="1"/>
  <c r="S1" i="2" s="1"/>
  <c r="T1" i="2" s="1"/>
  <c r="U1" i="2" s="1"/>
  <c r="V1" i="2" s="1"/>
  <c r="W1" i="2" s="1"/>
  <c r="X1" i="2" s="1"/>
  <c r="Y1" i="2" s="1"/>
  <c r="Z1" i="2" s="1"/>
  <c r="F28" i="2"/>
  <c r="J37" i="2"/>
  <c r="K37" i="2" s="1"/>
  <c r="F37" i="2"/>
  <c r="F38" i="2" s="1"/>
  <c r="F50" i="2" s="1"/>
  <c r="G32" i="2"/>
  <c r="G33" i="2"/>
  <c r="K32" i="2"/>
  <c r="J25" i="2"/>
  <c r="J24" i="2"/>
  <c r="J23" i="2"/>
  <c r="J22" i="2"/>
  <c r="J7" i="2"/>
  <c r="J9" i="2" s="1"/>
  <c r="J28" i="2" s="1"/>
  <c r="H7" i="2"/>
  <c r="H9" i="2" s="1"/>
  <c r="G7" i="2"/>
  <c r="F7" i="2"/>
  <c r="F9" i="2" s="1"/>
  <c r="D7" i="2"/>
  <c r="D9" i="2" s="1"/>
  <c r="C7" i="2"/>
  <c r="C9" i="2" s="1"/>
  <c r="C28" i="2" s="1"/>
  <c r="B7" i="2"/>
  <c r="B9" i="2" s="1"/>
  <c r="J48" i="2"/>
  <c r="I48" i="2"/>
  <c r="H48" i="2"/>
  <c r="F48" i="2"/>
  <c r="E48" i="2"/>
  <c r="D48" i="2"/>
  <c r="B48" i="2"/>
  <c r="G46" i="2"/>
  <c r="G45" i="2"/>
  <c r="J43" i="2"/>
  <c r="I43" i="2"/>
  <c r="H43" i="2"/>
  <c r="F43" i="2"/>
  <c r="E43" i="2"/>
  <c r="D43" i="2"/>
  <c r="B43" i="2"/>
  <c r="G42" i="2"/>
  <c r="G41" i="2"/>
  <c r="G40" i="2"/>
  <c r="I50" i="2"/>
  <c r="H50" i="2"/>
  <c r="K46" i="2"/>
  <c r="K45" i="2"/>
  <c r="K42" i="2"/>
  <c r="K41" i="2"/>
  <c r="K40" i="2"/>
  <c r="G36" i="2"/>
  <c r="G35" i="2"/>
  <c r="G34" i="2"/>
  <c r="K36" i="2"/>
  <c r="K35" i="2"/>
  <c r="K34" i="2"/>
  <c r="K33" i="2"/>
  <c r="K25" i="2"/>
  <c r="K24" i="2"/>
  <c r="K23" i="2"/>
  <c r="K22" i="2"/>
  <c r="J12" i="2"/>
  <c r="H12" i="2"/>
  <c r="G12" i="2"/>
  <c r="F12" i="2"/>
  <c r="D12" i="2"/>
  <c r="C12" i="2"/>
  <c r="B12" i="2"/>
  <c r="K12" i="2"/>
  <c r="G9" i="2"/>
  <c r="G28" i="2" s="1"/>
  <c r="K7" i="2"/>
  <c r="K9" i="2" s="1"/>
  <c r="K28" i="2" s="1"/>
  <c r="L6" i="1"/>
  <c r="E7" i="2" l="1"/>
  <c r="E9" i="2" s="1"/>
  <c r="E13" i="2" s="1"/>
  <c r="C13" i="2"/>
  <c r="C29" i="2" s="1"/>
  <c r="G26" i="2"/>
  <c r="C43" i="2"/>
  <c r="I7" i="2"/>
  <c r="I9" i="2" s="1"/>
  <c r="I13" i="2" s="1"/>
  <c r="G37" i="2"/>
  <c r="X13" i="2"/>
  <c r="X16" i="2" s="1"/>
  <c r="X18" i="2" s="1"/>
  <c r="X20" i="2" s="1"/>
  <c r="K48" i="2"/>
  <c r="T13" i="2"/>
  <c r="T16" i="2" s="1"/>
  <c r="T18" i="2" s="1"/>
  <c r="T20" i="2" s="1"/>
  <c r="P13" i="2"/>
  <c r="Q13" i="2"/>
  <c r="Q28" i="2"/>
  <c r="U13" i="2"/>
  <c r="U16" i="2" s="1"/>
  <c r="U18" i="2" s="1"/>
  <c r="U20" i="2" s="1"/>
  <c r="V13" i="2"/>
  <c r="V16" i="2" s="1"/>
  <c r="V18" i="2" s="1"/>
  <c r="V20" i="2" s="1"/>
  <c r="W13" i="2"/>
  <c r="W16" i="2" s="1"/>
  <c r="W18" i="2" s="1"/>
  <c r="W20" i="2" s="1"/>
  <c r="R13" i="2"/>
  <c r="R16" i="2" s="1"/>
  <c r="R18" i="2" s="1"/>
  <c r="R32" i="2" s="1"/>
  <c r="R38" i="2" s="1"/>
  <c r="J26" i="2"/>
  <c r="K13" i="2"/>
  <c r="G48" i="2"/>
  <c r="K26" i="2"/>
  <c r="J38" i="2"/>
  <c r="J50" i="2" s="1"/>
  <c r="K43" i="2"/>
  <c r="G43" i="2"/>
  <c r="K38" i="2"/>
  <c r="K50" i="2" s="1"/>
  <c r="H13" i="2"/>
  <c r="B13" i="2"/>
  <c r="J13" i="2"/>
  <c r="D13" i="2"/>
  <c r="F13" i="2"/>
  <c r="G13" i="2"/>
  <c r="B16" i="2" l="1"/>
  <c r="B18" i="2" s="1"/>
  <c r="H16" i="2"/>
  <c r="H18" i="2" s="1"/>
  <c r="H32" i="2" s="1"/>
  <c r="K29" i="2"/>
  <c r="K16" i="2"/>
  <c r="K18" i="2" s="1"/>
  <c r="Q29" i="2"/>
  <c r="Q16" i="2"/>
  <c r="Q18" i="2" s="1"/>
  <c r="Q32" i="2" s="1"/>
  <c r="Q38" i="2" s="1"/>
  <c r="F16" i="2"/>
  <c r="F18" i="2" s="1"/>
  <c r="F29" i="2"/>
  <c r="C16" i="2"/>
  <c r="C18" i="2" s="1"/>
  <c r="I16" i="2"/>
  <c r="I18" i="2" s="1"/>
  <c r="G18" i="2"/>
  <c r="G30" i="2" s="1"/>
  <c r="G16" i="2"/>
  <c r="G29" i="2"/>
  <c r="E16" i="2"/>
  <c r="E18" i="2" s="1"/>
  <c r="P16" i="2"/>
  <c r="P18" i="2" s="1"/>
  <c r="D16" i="2"/>
  <c r="D18" i="2" s="1"/>
  <c r="D20" i="2" s="1"/>
  <c r="J16" i="2"/>
  <c r="J18" i="2" s="1"/>
  <c r="J29" i="2"/>
  <c r="P29" i="2"/>
  <c r="Q20" i="2"/>
  <c r="Q30" i="2"/>
  <c r="R29" i="2"/>
  <c r="G38" i="2"/>
  <c r="G50" i="2" s="1"/>
  <c r="G20" i="2"/>
  <c r="C20" i="2" l="1"/>
  <c r="C30" i="2"/>
  <c r="H20" i="2"/>
  <c r="F30" i="2"/>
  <c r="F20" i="2"/>
  <c r="I20" i="2"/>
  <c r="I32" i="2"/>
  <c r="E20" i="2"/>
  <c r="E32" i="2"/>
  <c r="E38" i="2" s="1"/>
  <c r="E50" i="2" s="1"/>
  <c r="K20" i="2"/>
  <c r="K30" i="2"/>
  <c r="J30" i="2"/>
  <c r="J20" i="2"/>
  <c r="P30" i="2"/>
  <c r="P32" i="2"/>
  <c r="P38" i="2" s="1"/>
  <c r="P50" i="2" s="1"/>
  <c r="P20" i="2"/>
  <c r="B20" i="2"/>
  <c r="B32" i="2"/>
  <c r="B38" i="2" s="1"/>
  <c r="B50" i="2" s="1"/>
  <c r="C32" i="2"/>
  <c r="C38" i="2" s="1"/>
  <c r="C50" i="2" s="1"/>
  <c r="D32" i="2"/>
  <c r="R20" i="2"/>
  <c r="R30"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<sst xmlns="http://schemas.openxmlformats.org/spreadsheetml/2006/main" count="68" uniqueCount="62">
  <si>
    <t>ticket</t>
  </si>
  <si>
    <t>price</t>
  </si>
  <si>
    <t>shares</t>
  </si>
  <si>
    <t>mc</t>
  </si>
  <si>
    <t>cash</t>
  </si>
  <si>
    <t>debt</t>
  </si>
  <si>
    <t>ev</t>
  </si>
  <si>
    <t>US</t>
  </si>
  <si>
    <t>EMEA</t>
  </si>
  <si>
    <t>China</t>
  </si>
  <si>
    <t>Other</t>
  </si>
  <si>
    <t>Q1 2022</t>
  </si>
  <si>
    <t>Q2 2022</t>
  </si>
  <si>
    <t>Q3 2022</t>
  </si>
  <si>
    <t>Q4 2022</t>
  </si>
  <si>
    <t>Q1 2023</t>
  </si>
  <si>
    <t>Q2 2023</t>
  </si>
  <si>
    <t>Q3 2023</t>
  </si>
  <si>
    <t>Q4 2023</t>
  </si>
  <si>
    <t>Q1 2024</t>
  </si>
  <si>
    <t>Q2 2024</t>
  </si>
  <si>
    <t>Q3 2024</t>
  </si>
  <si>
    <t>Q4 2024</t>
  </si>
  <si>
    <t>Revenue</t>
  </si>
  <si>
    <t>COGS</t>
  </si>
  <si>
    <t>Gross Profit</t>
  </si>
  <si>
    <t>R&amp;D</t>
  </si>
  <si>
    <t>S,G&amp;A</t>
  </si>
  <si>
    <t>Total Opex</t>
  </si>
  <si>
    <t>Operating Income</t>
  </si>
  <si>
    <t>Net Interest</t>
  </si>
  <si>
    <t>Pretax income</t>
  </si>
  <si>
    <t>Taxes</t>
  </si>
  <si>
    <t>Net Income</t>
  </si>
  <si>
    <t>Shares</t>
  </si>
  <si>
    <t>EPS</t>
  </si>
  <si>
    <t>Other Income</t>
  </si>
  <si>
    <t>Revenue y/y</t>
  </si>
  <si>
    <t>D&amp;A</t>
  </si>
  <si>
    <t>SBC</t>
  </si>
  <si>
    <t>Amortizations</t>
  </si>
  <si>
    <t>CIA&amp;L</t>
  </si>
  <si>
    <t>CFFO</t>
  </si>
  <si>
    <t>Proceeds from MS</t>
  </si>
  <si>
    <t>Purchases of MS</t>
  </si>
  <si>
    <t>Capex</t>
  </si>
  <si>
    <t>CFFI</t>
  </si>
  <si>
    <t>Buybacks</t>
  </si>
  <si>
    <t>employee stock purchase plan</t>
  </si>
  <si>
    <t>CFFF</t>
  </si>
  <si>
    <t xml:space="preserve">FCF </t>
  </si>
  <si>
    <t>Gross Margin</t>
  </si>
  <si>
    <t>Operating Margin</t>
  </si>
  <si>
    <t>Net Margin</t>
  </si>
  <si>
    <t>Founded</t>
  </si>
  <si>
    <t>HQ</t>
  </si>
  <si>
    <t>Employees</t>
  </si>
  <si>
    <t>Reston. VA</t>
  </si>
  <si>
    <t>Domains</t>
  </si>
  <si>
    <t>CEO</t>
  </si>
  <si>
    <t>D. James Bidzos</t>
  </si>
  <si>
    <t>EV/FCF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</si>
</sst>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409]* #,##0.00_ ;_-[$$-409]* \-#,##0.00\ ;_-[$$-409]* &quot;-&quot;??_ ;_-@_ "/>
    <numFmt numFmtId="165" formatCode="0.0%"/>
    <numFmt numFmtId="166" formatCode="0.00\x"/>
    <numFmt numFmtId="167" formatCode="_([$$-409]* #,##0.00_);_([$$-409]* \(#,##0.00\);_([$$-409]* &quot;-&quot;??_);_(@_)"/>
  </numFmts>
  <fonts count="3" x14ac:knownFonts="1">
    <font>
      <sz val="11"/>
      <color theme="1"/>
      <name val="Aptos Narrow"/>
      <family val="2"/>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3" fontId="1" fillId="0" borderId="0" xfId="0" applyNumberFormat="1" applyFont="1"/>
    <xf numFmtId="0" fontId="1" fillId="0" borderId="0" xfId="0" applyFont="1" applyAlignment="1">
      <alignment horizontal="right"/>
    </xf>
    <xf numFmtId="3" fontId="1" fillId="0" borderId="0" xfId="0" applyNumberFormat="1" applyFont="1" applyAlignment="1">
      <alignment horizontal="right"/>
    </xf>
    <xf numFmtId="0" fontId="2" fillId="0" borderId="0" xfId="0" applyFont="1"/>
    <xf numFmtId="3" fontId="2" fillId="0" borderId="0" xfId="0" applyNumberFormat="1" applyFont="1"/>
    <xf numFmtId="164" fontId="1" fillId="0" borderId="0" xfId="0" applyNumberFormat="1" applyFont="1"/>
    <xf numFmtId="165" fontId="1" fillId="0" borderId="0" xfId="0" applyNumberFormat="1" applyFont="1"/>
    <xf numFmtId="165" fontId="2" fillId="0" borderId="0" xfId="0" applyNumberFormat="1" applyFont="1"/>
    <xf numFmtId="0" fontId="1" fillId="0" borderId="0" xfId="0" applyFont="1" applyAlignment="1">
      <alignment horizontal="left"/>
    </xf>
    <xf numFmtId="4" fontId="1" fillId="0" borderId="0" xfId="0" applyNumberFormat="1" applyFont="1"/>
    <xf numFmtId="166" fontId="1" fillId="0" borderId="0" xfId="0" applyNumberFormat="1" applyFont="1"/>
    <xf numFmtId="167"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https://www.bing.com/financeapi/forcetrigger?t=a25jqh&amp;q=XNAS%3aVRSN&amp;form=skydnc</v>
    <v>Learn more on Bing</v>
  </rv>
  <rv s="1">
    <v>en-GB</v>
    <v>a25jqh</v>
    <v>268435456</v>
    <v>1</v>
    <v>Powered by Refinitiv</v>
    <v>0</v>
    <v>VERISIGN, INC. (XNAS:VRSN)</v>
    <v>2</v>
    <v>3</v>
    <v>Finance</v>
    <v>4</v>
    <v>208.035</v>
    <v>167.04499999999999</v>
    <v>0.90410000000000001</v>
    <v>1.22</v>
    <v>1.4905999999999999E-2</v>
    <v>6.0179999999999999E-3</v>
    <v>3.04</v>
    <v>USD</v>
    <v>VeriSign, Inc. is a global provider of Internet infrastructure and domain name registry services, enables Internet navigation for various domain names. The Company helps to enable the security, stability, and resiliency of the domain name system and the Internet by providing root zone maintainer services, operating two of the 13 global Internet root servers, and providing registration services and authoritative resolution. It operates the authoritative directory, for all .com, .net, and .name domain names (generic top-level domains or gTLDs), as well as for certain transliterations of .com and .net in number of different native languages and scripts (internationalized generic top-level domains). It also operates the authoritative directory for all .cc domain names (country code top-level domain). The Company operates the technical or back-end systems for .edu and certain other gTLDs. Its operations infrastructure includes distributed servers, networking and disaster recovery plans.</v>
    <v>907</v>
    <v>Nasdaq Stock Market</v>
    <v>XNAS</v>
    <v>XNAS</v>
    <v>ATTN: GENERAL COUNSEL, 12061 BLUEMONT WAY, RESTON, VA, 20190 US</v>
    <v>206.2</v>
    <v>Software &amp; IT Services</v>
    <v>Stock</v>
    <v>45654.035618633592</v>
    <v>0</v>
    <v>201.93</v>
    <v>19599595000</v>
    <v>VERISIGN, INC.</v>
    <v>VERISIGN, INC.</v>
    <v>204.33799999999999</v>
    <v>23.727</v>
    <v>202.73</v>
    <v>203.95</v>
    <v>206.99</v>
    <v>96100000</v>
    <v>VRSN</v>
    <v>VERISIGN, INC. (XNAS:VRSN)</v>
    <v>569620</v>
    <v>647271</v>
    <v>1995</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78AE6-BF80-4E39-8AF9-37FCA36B3840}">
  <dimension ref="D1:L10"/>
  <sheetViews>
    <sheetView topLeftCell="C1" workbookViewId="0">
      <selection activeCell="R17" sqref="R17"/>
    </sheetView>
  </sheetViews>
  <sheetFormatPr defaultColWidth="8.85546875" defaultRowHeight="12.75" x14ac:dyDescent="0.2"/>
  <cols>
    <col min="1" max="3" width="8.85546875" style="1"/>
    <col min="4" max="4" width="9.85546875" style="1" bestFit="1" customWidth="1"/>
    <col min="5" max="16384" width="8.85546875" style="1"/>
  </cols>
  <sheetData>
    <row r="1" spans="4:12" x14ac:dyDescent="0.2">
      <c r="D1" s="1" t="s">
        <v>54</v>
      </c>
      <c r="E1" s="10">
        <v>1995</v>
      </c>
    </row>
    <row r="2" spans="4:12" x14ac:dyDescent="0.2">
      <c r="D2" s="1" t="s">
        <v>55</v>
      </c>
      <c r="E2" s="10" t="s">
        <v>57</v>
      </c>
      <c r="K2" s="5" t="s">
        <v>0</v>
      </c>
      <c r="L2" s="3" t="e" vm="1">
        <v>#VALUE!</v>
      </c>
    </row>
    <row r="3" spans="4:12" x14ac:dyDescent="0.2">
      <c r="D3" s="1" t="s">
        <v>56</v>
      </c>
      <c r="E3" s="10">
        <v>900</v>
      </c>
      <c r="K3" s="5" t="s">
        <v>1</v>
      </c>
      <c r="L3" s="13" cm="1">
        <f t="array" aca="1" ref="L3" ca="1">+_FV(L2,"Price")</f>
        <v>203.95</v>
      </c>
    </row>
    <row r="4" spans="4:12" x14ac:dyDescent="0.2">
      <c r="D4" s="1" t="s">
        <v>59</v>
      </c>
      <c r="E4" s="10" t="s">
        <v>60</v>
      </c>
      <c r="K4" s="5" t="s">
        <v>2</v>
      </c>
      <c r="L4" s="3">
        <v>97.6</v>
      </c>
    </row>
    <row r="5" spans="4:12" x14ac:dyDescent="0.2">
      <c r="K5" s="5" t="s">
        <v>3</v>
      </c>
      <c r="L5" s="4">
        <f ca="1">+L3*L4</f>
        <v>19905.519999999997</v>
      </c>
    </row>
    <row r="6" spans="4:12" x14ac:dyDescent="0.2">
      <c r="K6" s="5" t="s">
        <v>4</v>
      </c>
      <c r="L6" s="4">
        <f>252.2+437.7</f>
        <v>689.9</v>
      </c>
    </row>
    <row r="7" spans="4:12" x14ac:dyDescent="0.2">
      <c r="K7" s="5" t="s">
        <v>5</v>
      </c>
      <c r="L7" s="4">
        <v>1791.3</v>
      </c>
    </row>
    <row r="8" spans="4:12" x14ac:dyDescent="0.2">
      <c r="K8" s="5" t="s">
        <v>6</v>
      </c>
      <c r="L8" s="4">
        <f ca="1">+L5-L6+L7</f>
        <v>21006.919999999995</v>
      </c>
    </row>
    <row r="10" spans="4:12" x14ac:dyDescent="0.2">
      <c r="K10" s="5" t="s">
        <v>61</v>
      </c>
      <c r="L10" s="12">
        <f ca="1">+L8/818</f>
        <v>25.680831295843515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4F50B-C242-4E18-8C1B-989E60691156}">
  <dimension ref="A1:Z53"/>
  <sheetViews>
    <sheetView tabSelected="1" workbookViewId="0">
      <pane xSplit="1" ySplit="1" topLeftCell="B6" activePane="bottomRight" state="frozen"/>
      <selection pane="topRight" activeCell="B1" sqref="B1"/>
      <selection pane="bottomLeft" activeCell="A2" sqref="A2"/>
      <selection pane="bottomRight" activeCell="R50" sqref="R50"/>
    </sheetView>
  </sheetViews>
  <sheetFormatPr defaultColWidth="8.85546875" defaultRowHeight="12.75" x14ac:dyDescent="0.2"/>
  <cols>
    <col min="1" max="1" width="26" style="1" bestFit="1" customWidth="1"/>
    <col min="2" max="16384" width="8.85546875" style="1"/>
  </cols>
  <sheetData>
    <row r="1" spans="1:26" x14ac:dyDescent="0.2">
      <c r="B1" s="5" t="s">
        <v>11</v>
      </c>
      <c r="C1" s="5" t="s">
        <v>12</v>
      </c>
      <c r="D1" s="5" t="s">
        <v>13</v>
      </c>
      <c r="E1" s="5" t="s">
        <v>14</v>
      </c>
      <c r="F1" s="5" t="s">
        <v>15</v>
      </c>
      <c r="G1" s="5" t="s">
        <v>16</v>
      </c>
      <c r="H1" s="5" t="s">
        <v>17</v>
      </c>
      <c r="I1" s="5" t="s">
        <v>18</v>
      </c>
      <c r="J1" s="5" t="s">
        <v>19</v>
      </c>
      <c r="K1" s="5" t="s">
        <v>20</v>
      </c>
      <c r="L1" s="5" t="s">
        <v>21</v>
      </c>
      <c r="M1" s="5" t="s">
        <v>22</v>
      </c>
      <c r="N1" s="5"/>
      <c r="O1" s="5"/>
      <c r="P1" s="5">
        <v>2021</v>
      </c>
      <c r="Q1" s="5">
        <f>+P1+1</f>
        <v>2022</v>
      </c>
      <c r="R1" s="5">
        <f t="shared" ref="R1:Z1" si="0">+Q1+1</f>
        <v>2023</v>
      </c>
      <c r="S1" s="5">
        <f t="shared" si="0"/>
        <v>2024</v>
      </c>
      <c r="T1" s="5">
        <f t="shared" si="0"/>
        <v>2025</v>
      </c>
      <c r="U1" s="5">
        <f t="shared" si="0"/>
        <v>2026</v>
      </c>
      <c r="V1" s="5">
        <f t="shared" si="0"/>
        <v>2027</v>
      </c>
      <c r="W1" s="5">
        <f t="shared" si="0"/>
        <v>2028</v>
      </c>
      <c r="X1" s="5">
        <f t="shared" si="0"/>
        <v>2029</v>
      </c>
      <c r="Y1" s="5">
        <f t="shared" si="0"/>
        <v>2030</v>
      </c>
      <c r="Z1" s="5">
        <f t="shared" si="0"/>
        <v>2031</v>
      </c>
    </row>
    <row r="2" spans="1:26" x14ac:dyDescent="0.2">
      <c r="A2" s="1" t="s">
        <v>7</v>
      </c>
      <c r="B2" s="2">
        <v>224.6</v>
      </c>
      <c r="C2" s="2">
        <v>230.9</v>
      </c>
      <c r="D2" s="2">
        <v>236.3</v>
      </c>
      <c r="E2" s="2">
        <f>+Q2-SUM(B2:D2)</f>
        <v>245.80000000000007</v>
      </c>
      <c r="F2" s="2">
        <v>242.8</v>
      </c>
      <c r="G2" s="2">
        <v>247.6</v>
      </c>
      <c r="H2" s="2">
        <v>250.8</v>
      </c>
      <c r="I2" s="2">
        <f>+R2-SUM(F2:H2)</f>
        <v>253.5</v>
      </c>
      <c r="J2" s="2">
        <v>255.3</v>
      </c>
      <c r="K2" s="2">
        <v>257.7</v>
      </c>
      <c r="L2" s="2"/>
      <c r="M2" s="2"/>
      <c r="P2" s="2">
        <v>851.3</v>
      </c>
      <c r="Q2" s="2">
        <v>937.6</v>
      </c>
      <c r="R2" s="2">
        <v>994.7</v>
      </c>
      <c r="S2" s="2"/>
      <c r="T2" s="2"/>
      <c r="U2" s="2"/>
      <c r="V2" s="2"/>
      <c r="W2" s="2"/>
      <c r="X2" s="2"/>
      <c r="Y2" s="2"/>
      <c r="Z2" s="2"/>
    </row>
    <row r="3" spans="1:26" x14ac:dyDescent="0.2">
      <c r="A3" s="1" t="s">
        <v>8</v>
      </c>
      <c r="B3" s="2">
        <v>58.6</v>
      </c>
      <c r="C3" s="2">
        <v>56.4</v>
      </c>
      <c r="D3" s="2">
        <v>55</v>
      </c>
      <c r="E3" s="2">
        <f t="shared" ref="E3:E5" si="1">+Q3-SUM(B3:D3)</f>
        <v>56</v>
      </c>
      <c r="F3" s="2">
        <v>55</v>
      </c>
      <c r="G3" s="2">
        <v>56.7</v>
      </c>
      <c r="H3" s="2">
        <v>57.7</v>
      </c>
      <c r="I3" s="2">
        <f t="shared" ref="I3:I5" si="2">+R3-SUM(F3:H3)</f>
        <v>58.799999999999983</v>
      </c>
      <c r="J3" s="2">
        <v>60.3</v>
      </c>
      <c r="K3" s="2">
        <v>61.6</v>
      </c>
      <c r="L3" s="2"/>
      <c r="M3" s="2"/>
      <c r="P3" s="2">
        <v>231.7</v>
      </c>
      <c r="Q3" s="2">
        <v>226</v>
      </c>
      <c r="R3" s="2">
        <v>228.2</v>
      </c>
      <c r="S3" s="2"/>
      <c r="T3" s="2"/>
      <c r="U3" s="2"/>
      <c r="V3" s="2"/>
      <c r="W3" s="2"/>
      <c r="X3" s="2"/>
      <c r="Y3" s="2"/>
      <c r="Z3" s="2"/>
    </row>
    <row r="4" spans="1:26" x14ac:dyDescent="0.2">
      <c r="A4" s="1" t="s">
        <v>9</v>
      </c>
      <c r="B4" s="2">
        <v>25.1</v>
      </c>
      <c r="C4" s="2">
        <v>26.5</v>
      </c>
      <c r="D4" s="2">
        <v>26.8</v>
      </c>
      <c r="E4" s="2">
        <f t="shared" si="1"/>
        <v>27.599999999999994</v>
      </c>
      <c r="F4" s="2">
        <v>25.1</v>
      </c>
      <c r="G4" s="2">
        <v>23.9</v>
      </c>
      <c r="H4" s="2">
        <v>22</v>
      </c>
      <c r="I4" s="2">
        <f t="shared" si="2"/>
        <v>20.599999999999994</v>
      </c>
      <c r="J4" s="2">
        <v>20.7</v>
      </c>
      <c r="K4" s="2">
        <v>19.8</v>
      </c>
      <c r="L4" s="2"/>
      <c r="M4" s="2"/>
      <c r="P4" s="2">
        <v>101.7</v>
      </c>
      <c r="Q4" s="2">
        <v>106</v>
      </c>
      <c r="R4" s="2">
        <v>91.6</v>
      </c>
      <c r="S4" s="2"/>
      <c r="T4" s="2"/>
      <c r="U4" s="2"/>
      <c r="V4" s="2"/>
      <c r="W4" s="2"/>
      <c r="X4" s="2"/>
      <c r="Y4" s="2"/>
      <c r="Z4" s="2"/>
    </row>
    <row r="5" spans="1:26" x14ac:dyDescent="0.2">
      <c r="A5" s="1" t="s">
        <v>10</v>
      </c>
      <c r="B5" s="2">
        <v>38.6</v>
      </c>
      <c r="C5" s="2">
        <v>38.1</v>
      </c>
      <c r="D5" s="2">
        <v>38.799999999999997</v>
      </c>
      <c r="E5" s="2">
        <f t="shared" si="1"/>
        <v>39.800000000000011</v>
      </c>
      <c r="F5" s="2">
        <v>41.5</v>
      </c>
      <c r="G5" s="2">
        <v>43.8</v>
      </c>
      <c r="H5" s="2">
        <v>45.8</v>
      </c>
      <c r="I5" s="2">
        <f t="shared" si="2"/>
        <v>47.5</v>
      </c>
      <c r="J5" s="2">
        <v>48</v>
      </c>
      <c r="K5" s="2">
        <v>48</v>
      </c>
      <c r="L5" s="2"/>
      <c r="M5" s="2"/>
      <c r="P5" s="2">
        <v>142.9</v>
      </c>
      <c r="Q5" s="2">
        <v>155.30000000000001</v>
      </c>
      <c r="R5" s="2">
        <v>178.6</v>
      </c>
      <c r="S5" s="2"/>
      <c r="T5" s="2"/>
      <c r="U5" s="2"/>
      <c r="V5" s="2"/>
      <c r="W5" s="2"/>
      <c r="X5" s="2"/>
      <c r="Y5" s="2"/>
      <c r="Z5" s="2"/>
    </row>
    <row r="6" spans="1:26" x14ac:dyDescent="0.2">
      <c r="B6" s="2"/>
      <c r="C6" s="2"/>
      <c r="D6" s="2"/>
      <c r="E6" s="2"/>
      <c r="F6" s="2"/>
      <c r="G6" s="2"/>
      <c r="H6" s="2"/>
      <c r="I6" s="2"/>
      <c r="J6" s="2"/>
      <c r="K6" s="2"/>
      <c r="L6" s="2"/>
      <c r="M6" s="2"/>
      <c r="P6" s="2"/>
      <c r="Q6" s="2"/>
      <c r="R6" s="2"/>
      <c r="S6" s="2"/>
      <c r="T6" s="2"/>
      <c r="U6" s="2"/>
      <c r="V6" s="2"/>
      <c r="W6" s="2"/>
      <c r="X6" s="2"/>
      <c r="Y6" s="2"/>
      <c r="Z6" s="2"/>
    </row>
    <row r="7" spans="1:26" s="5" customFormat="1" x14ac:dyDescent="0.2">
      <c r="A7" s="5" t="s">
        <v>23</v>
      </c>
      <c r="B7" s="6">
        <f t="shared" ref="B7:J7" si="3">+SUM(B2:B5)</f>
        <v>346.90000000000003</v>
      </c>
      <c r="C7" s="6">
        <f t="shared" si="3"/>
        <v>351.90000000000003</v>
      </c>
      <c r="D7" s="6">
        <f t="shared" si="3"/>
        <v>356.90000000000003</v>
      </c>
      <c r="E7" s="6">
        <f t="shared" si="3"/>
        <v>369.2000000000001</v>
      </c>
      <c r="F7" s="6">
        <f t="shared" si="3"/>
        <v>364.40000000000003</v>
      </c>
      <c r="G7" s="6">
        <f t="shared" si="3"/>
        <v>372</v>
      </c>
      <c r="H7" s="6">
        <f t="shared" si="3"/>
        <v>376.3</v>
      </c>
      <c r="I7" s="6">
        <f t="shared" si="3"/>
        <v>380.4</v>
      </c>
      <c r="J7" s="6">
        <f t="shared" si="3"/>
        <v>384.3</v>
      </c>
      <c r="K7" s="6">
        <f>+SUM(K2:K5)</f>
        <v>387.1</v>
      </c>
      <c r="L7" s="6"/>
      <c r="M7" s="6"/>
      <c r="P7" s="6">
        <f t="shared" ref="P7" si="4">+SUM(P2:P5)</f>
        <v>1327.6000000000001</v>
      </c>
      <c r="Q7" s="6">
        <f>+SUM(Q2:Q5)</f>
        <v>1424.8999999999999</v>
      </c>
      <c r="R7" s="6">
        <f t="shared" ref="R7:Z7" si="5">+SUM(R2:R5)</f>
        <v>1493.1</v>
      </c>
      <c r="S7" s="6">
        <f t="shared" si="5"/>
        <v>0</v>
      </c>
      <c r="T7" s="6">
        <f t="shared" si="5"/>
        <v>0</v>
      </c>
      <c r="U7" s="6">
        <f t="shared" si="5"/>
        <v>0</v>
      </c>
      <c r="V7" s="6">
        <f t="shared" si="5"/>
        <v>0</v>
      </c>
      <c r="W7" s="6">
        <f t="shared" si="5"/>
        <v>0</v>
      </c>
      <c r="X7" s="6">
        <f t="shared" si="5"/>
        <v>0</v>
      </c>
      <c r="Y7" s="6">
        <f t="shared" si="5"/>
        <v>0</v>
      </c>
      <c r="Z7" s="6">
        <f t="shared" si="5"/>
        <v>0</v>
      </c>
    </row>
    <row r="8" spans="1:26" x14ac:dyDescent="0.2">
      <c r="A8" s="1" t="s">
        <v>24</v>
      </c>
      <c r="B8" s="2">
        <v>50.7</v>
      </c>
      <c r="C8" s="2">
        <v>49.5</v>
      </c>
      <c r="D8" s="2">
        <v>50</v>
      </c>
      <c r="E8" s="2">
        <f t="shared" ref="E8" si="6">+Q8-SUM(B8:D8)</f>
        <v>50.5</v>
      </c>
      <c r="F8" s="2">
        <v>49.9</v>
      </c>
      <c r="G8" s="2">
        <v>50.3</v>
      </c>
      <c r="H8" s="2">
        <v>48.6</v>
      </c>
      <c r="I8" s="2">
        <f>+R8-SUM(F8:H8)</f>
        <v>48.500000000000028</v>
      </c>
      <c r="J8" s="2">
        <v>49.1</v>
      </c>
      <c r="K8" s="2">
        <v>47.1</v>
      </c>
      <c r="L8" s="2"/>
      <c r="M8" s="2"/>
      <c r="P8" s="2">
        <v>191.9</v>
      </c>
      <c r="Q8" s="2">
        <v>200.7</v>
      </c>
      <c r="R8" s="2">
        <v>197.3</v>
      </c>
      <c r="S8" s="2"/>
      <c r="T8" s="2"/>
      <c r="U8" s="2"/>
      <c r="V8" s="2"/>
      <c r="W8" s="2"/>
      <c r="X8" s="2"/>
      <c r="Y8" s="2"/>
      <c r="Z8" s="2"/>
    </row>
    <row r="9" spans="1:26" x14ac:dyDescent="0.2">
      <c r="A9" s="1" t="s">
        <v>25</v>
      </c>
      <c r="B9" s="2">
        <f t="shared" ref="B9:J9" si="7">+B7-B8</f>
        <v>296.20000000000005</v>
      </c>
      <c r="C9" s="2">
        <f t="shared" si="7"/>
        <v>302.40000000000003</v>
      </c>
      <c r="D9" s="2">
        <f t="shared" si="7"/>
        <v>306.90000000000003</v>
      </c>
      <c r="E9" s="2">
        <f t="shared" si="7"/>
        <v>318.7000000000001</v>
      </c>
      <c r="F9" s="2">
        <f t="shared" si="7"/>
        <v>314.50000000000006</v>
      </c>
      <c r="G9" s="2">
        <f t="shared" si="7"/>
        <v>321.7</v>
      </c>
      <c r="H9" s="2">
        <f t="shared" si="7"/>
        <v>327.7</v>
      </c>
      <c r="I9" s="2">
        <f t="shared" si="7"/>
        <v>331.9</v>
      </c>
      <c r="J9" s="2">
        <f t="shared" si="7"/>
        <v>335.2</v>
      </c>
      <c r="K9" s="2">
        <f>+K7-K8</f>
        <v>340</v>
      </c>
      <c r="L9" s="2"/>
      <c r="M9" s="2"/>
      <c r="P9" s="2">
        <f t="shared" ref="P9:Z9" si="8">+P7-P8</f>
        <v>1135.7</v>
      </c>
      <c r="Q9" s="2">
        <f t="shared" si="8"/>
        <v>1224.1999999999998</v>
      </c>
      <c r="R9" s="2">
        <f t="shared" si="8"/>
        <v>1295.8</v>
      </c>
      <c r="S9" s="2">
        <f t="shared" si="8"/>
        <v>0</v>
      </c>
      <c r="T9" s="2">
        <f t="shared" si="8"/>
        <v>0</v>
      </c>
      <c r="U9" s="2">
        <f t="shared" si="8"/>
        <v>0</v>
      </c>
      <c r="V9" s="2">
        <f t="shared" si="8"/>
        <v>0</v>
      </c>
      <c r="W9" s="2">
        <f t="shared" si="8"/>
        <v>0</v>
      </c>
      <c r="X9" s="2">
        <f t="shared" si="8"/>
        <v>0</v>
      </c>
      <c r="Y9" s="2">
        <f t="shared" si="8"/>
        <v>0</v>
      </c>
      <c r="Z9" s="2">
        <f t="shared" si="8"/>
        <v>0</v>
      </c>
    </row>
    <row r="10" spans="1:26" x14ac:dyDescent="0.2">
      <c r="A10" s="1" t="s">
        <v>26</v>
      </c>
      <c r="B10" s="2">
        <v>22.9</v>
      </c>
      <c r="C10" s="2">
        <v>20.3</v>
      </c>
      <c r="D10" s="2">
        <v>21</v>
      </c>
      <c r="E10" s="2">
        <f t="shared" ref="E10:E11" si="9">+Q10-SUM(B10:D10)</f>
        <v>21.5</v>
      </c>
      <c r="F10" s="2">
        <v>24.2</v>
      </c>
      <c r="G10" s="2">
        <v>22.2</v>
      </c>
      <c r="H10" s="2">
        <v>21.7</v>
      </c>
      <c r="I10" s="2">
        <f t="shared" ref="I10:I11" si="10">+R10-SUM(F10:H10)</f>
        <v>22.900000000000006</v>
      </c>
      <c r="J10" s="2">
        <v>24.8</v>
      </c>
      <c r="K10" s="2">
        <v>23.8</v>
      </c>
      <c r="L10" s="2"/>
      <c r="M10" s="2"/>
      <c r="P10" s="2">
        <v>80.5</v>
      </c>
      <c r="Q10" s="2">
        <v>85.7</v>
      </c>
      <c r="R10" s="2">
        <v>91</v>
      </c>
      <c r="S10" s="2"/>
      <c r="T10" s="2"/>
      <c r="U10" s="2"/>
      <c r="V10" s="2"/>
      <c r="W10" s="2"/>
      <c r="X10" s="2"/>
      <c r="Y10" s="2"/>
      <c r="Z10" s="2"/>
    </row>
    <row r="11" spans="1:26" x14ac:dyDescent="0.2">
      <c r="A11" s="1" t="s">
        <v>27</v>
      </c>
      <c r="B11" s="2">
        <v>48.5</v>
      </c>
      <c r="C11" s="2">
        <v>46.1</v>
      </c>
      <c r="D11" s="2">
        <v>49.1</v>
      </c>
      <c r="E11" s="2">
        <f t="shared" si="9"/>
        <v>51.700000000000017</v>
      </c>
      <c r="F11" s="2">
        <v>49</v>
      </c>
      <c r="G11" s="2">
        <v>50.8</v>
      </c>
      <c r="H11" s="2">
        <v>51.7</v>
      </c>
      <c r="I11" s="2">
        <f t="shared" si="10"/>
        <v>52.699999999999989</v>
      </c>
      <c r="J11" s="2">
        <v>51.5</v>
      </c>
      <c r="K11" s="2">
        <v>50</v>
      </c>
      <c r="L11" s="2"/>
      <c r="M11" s="2"/>
      <c r="P11" s="2">
        <v>188.4</v>
      </c>
      <c r="Q11" s="2">
        <v>195.4</v>
      </c>
      <c r="R11" s="2">
        <v>204.2</v>
      </c>
      <c r="S11" s="2"/>
      <c r="T11" s="2"/>
      <c r="U11" s="2"/>
      <c r="V11" s="2"/>
      <c r="W11" s="2"/>
      <c r="X11" s="2"/>
      <c r="Y11" s="2"/>
      <c r="Z11" s="2"/>
    </row>
    <row r="12" spans="1:26" x14ac:dyDescent="0.2">
      <c r="A12" s="1" t="s">
        <v>28</v>
      </c>
      <c r="B12" s="2">
        <f t="shared" ref="B12:J12" si="11">+B10+B11</f>
        <v>71.400000000000006</v>
      </c>
      <c r="C12" s="2">
        <f t="shared" si="11"/>
        <v>66.400000000000006</v>
      </c>
      <c r="D12" s="2">
        <f t="shared" si="11"/>
        <v>70.099999999999994</v>
      </c>
      <c r="E12" s="2">
        <f t="shared" si="11"/>
        <v>73.200000000000017</v>
      </c>
      <c r="F12" s="2">
        <f t="shared" si="11"/>
        <v>73.2</v>
      </c>
      <c r="G12" s="2">
        <f t="shared" si="11"/>
        <v>73</v>
      </c>
      <c r="H12" s="2">
        <f t="shared" si="11"/>
        <v>73.400000000000006</v>
      </c>
      <c r="I12" s="2">
        <f t="shared" si="11"/>
        <v>75.599999999999994</v>
      </c>
      <c r="J12" s="2">
        <f t="shared" si="11"/>
        <v>76.3</v>
      </c>
      <c r="K12" s="2">
        <f>+K10+K11</f>
        <v>73.8</v>
      </c>
      <c r="L12" s="2"/>
      <c r="M12" s="2"/>
      <c r="P12" s="2">
        <f t="shared" ref="P12:Z12" si="12">+P10+P11</f>
        <v>268.89999999999998</v>
      </c>
      <c r="Q12" s="2">
        <f t="shared" si="12"/>
        <v>281.10000000000002</v>
      </c>
      <c r="R12" s="2">
        <f t="shared" si="12"/>
        <v>295.2</v>
      </c>
      <c r="S12" s="2">
        <f t="shared" si="12"/>
        <v>0</v>
      </c>
      <c r="T12" s="2">
        <f t="shared" si="12"/>
        <v>0</v>
      </c>
      <c r="U12" s="2">
        <f t="shared" si="12"/>
        <v>0</v>
      </c>
      <c r="V12" s="2">
        <f t="shared" si="12"/>
        <v>0</v>
      </c>
      <c r="W12" s="2">
        <f t="shared" si="12"/>
        <v>0</v>
      </c>
      <c r="X12" s="2">
        <f t="shared" si="12"/>
        <v>0</v>
      </c>
      <c r="Y12" s="2">
        <f t="shared" si="12"/>
        <v>0</v>
      </c>
      <c r="Z12" s="2">
        <f t="shared" si="12"/>
        <v>0</v>
      </c>
    </row>
    <row r="13" spans="1:26" x14ac:dyDescent="0.2">
      <c r="A13" s="1" t="s">
        <v>29</v>
      </c>
      <c r="B13" s="2">
        <f t="shared" ref="B13:J13" si="13">+B9-B12</f>
        <v>224.80000000000004</v>
      </c>
      <c r="C13" s="2">
        <f>+C9-C12</f>
        <v>236.00000000000003</v>
      </c>
      <c r="D13" s="2">
        <f t="shared" si="13"/>
        <v>236.80000000000004</v>
      </c>
      <c r="E13" s="2">
        <f t="shared" si="13"/>
        <v>245.50000000000009</v>
      </c>
      <c r="F13" s="2">
        <f t="shared" si="13"/>
        <v>241.30000000000007</v>
      </c>
      <c r="G13" s="2">
        <f t="shared" si="13"/>
        <v>248.7</v>
      </c>
      <c r="H13" s="2">
        <f t="shared" si="13"/>
        <v>254.29999999999998</v>
      </c>
      <c r="I13" s="2">
        <f t="shared" si="13"/>
        <v>256.29999999999995</v>
      </c>
      <c r="J13" s="2">
        <f t="shared" si="13"/>
        <v>258.89999999999998</v>
      </c>
      <c r="K13" s="2">
        <f>+K9-K12</f>
        <v>266.2</v>
      </c>
      <c r="L13" s="2"/>
      <c r="M13" s="2"/>
      <c r="P13" s="2">
        <f t="shared" ref="P13:Z13" si="14">+P9-P12</f>
        <v>866.80000000000007</v>
      </c>
      <c r="Q13" s="2">
        <f t="shared" si="14"/>
        <v>943.0999999999998</v>
      </c>
      <c r="R13" s="2">
        <f t="shared" si="14"/>
        <v>1000.5999999999999</v>
      </c>
      <c r="S13" s="2">
        <f t="shared" si="14"/>
        <v>0</v>
      </c>
      <c r="T13" s="2">
        <f t="shared" si="14"/>
        <v>0</v>
      </c>
      <c r="U13" s="2">
        <f t="shared" si="14"/>
        <v>0</v>
      </c>
      <c r="V13" s="2">
        <f t="shared" si="14"/>
        <v>0</v>
      </c>
      <c r="W13" s="2">
        <f t="shared" si="14"/>
        <v>0</v>
      </c>
      <c r="X13" s="2">
        <f t="shared" si="14"/>
        <v>0</v>
      </c>
      <c r="Y13" s="2">
        <f t="shared" si="14"/>
        <v>0</v>
      </c>
      <c r="Z13" s="2">
        <f t="shared" si="14"/>
        <v>0</v>
      </c>
    </row>
    <row r="14" spans="1:26" x14ac:dyDescent="0.2">
      <c r="A14" s="1" t="s">
        <v>30</v>
      </c>
      <c r="B14" s="2">
        <v>-18.8</v>
      </c>
      <c r="C14" s="2">
        <v>-18.899999999999999</v>
      </c>
      <c r="D14" s="2">
        <v>-18.8</v>
      </c>
      <c r="E14" s="2">
        <f t="shared" ref="E14:E15" si="15">+Q14-SUM(B14:D14)</f>
        <v>-18.799999999999997</v>
      </c>
      <c r="F14" s="2">
        <v>-18.8</v>
      </c>
      <c r="G14" s="2">
        <v>-18.899999999999999</v>
      </c>
      <c r="H14" s="2">
        <v>-18.8</v>
      </c>
      <c r="I14" s="2">
        <f t="shared" ref="I14:I15" si="16">+R14-SUM(F14:H14)</f>
        <v>-18.799999999999997</v>
      </c>
      <c r="J14" s="2">
        <v>-18.8</v>
      </c>
      <c r="K14" s="2">
        <v>-18.8</v>
      </c>
      <c r="L14" s="2"/>
      <c r="M14" s="2"/>
      <c r="P14" s="2">
        <v>-83.3</v>
      </c>
      <c r="Q14" s="2">
        <v>-75.3</v>
      </c>
      <c r="R14" s="2">
        <v>-75.3</v>
      </c>
      <c r="S14" s="2"/>
      <c r="T14" s="2"/>
      <c r="U14" s="2"/>
      <c r="V14" s="2"/>
      <c r="W14" s="2"/>
      <c r="X14" s="2"/>
      <c r="Y14" s="2"/>
      <c r="Z14" s="2"/>
    </row>
    <row r="15" spans="1:26" x14ac:dyDescent="0.2">
      <c r="A15" s="1" t="s">
        <v>36</v>
      </c>
      <c r="B15" s="2">
        <v>0.3</v>
      </c>
      <c r="C15" s="2">
        <v>1.6</v>
      </c>
      <c r="D15" s="2">
        <v>4.9000000000000004</v>
      </c>
      <c r="E15" s="2">
        <f t="shared" si="15"/>
        <v>5.6</v>
      </c>
      <c r="F15" s="2">
        <v>11.3</v>
      </c>
      <c r="G15" s="2">
        <v>12.7</v>
      </c>
      <c r="H15" s="2">
        <v>13.1</v>
      </c>
      <c r="I15" s="2">
        <f t="shared" si="16"/>
        <v>14.100000000000001</v>
      </c>
      <c r="J15" s="2">
        <v>13.9</v>
      </c>
      <c r="K15" s="2">
        <v>11.5</v>
      </c>
      <c r="L15" s="2"/>
      <c r="M15" s="2"/>
      <c r="P15" s="2">
        <v>-1.3</v>
      </c>
      <c r="Q15" s="2">
        <v>12.4</v>
      </c>
      <c r="R15" s="2">
        <v>51.2</v>
      </c>
      <c r="S15" s="2"/>
      <c r="T15" s="2"/>
      <c r="U15" s="2"/>
      <c r="V15" s="2"/>
      <c r="W15" s="2"/>
      <c r="X15" s="2"/>
      <c r="Y15" s="2"/>
      <c r="Z15" s="2"/>
    </row>
    <row r="16" spans="1:26" x14ac:dyDescent="0.2">
      <c r="A16" s="1" t="s">
        <v>31</v>
      </c>
      <c r="B16" s="2">
        <f t="shared" ref="B16:K16" si="17">+B13+B14+B15</f>
        <v>206.30000000000004</v>
      </c>
      <c r="C16" s="2">
        <f t="shared" si="17"/>
        <v>218.70000000000002</v>
      </c>
      <c r="D16" s="2">
        <f t="shared" si="17"/>
        <v>222.90000000000003</v>
      </c>
      <c r="E16" s="2">
        <f t="shared" si="17"/>
        <v>232.3000000000001</v>
      </c>
      <c r="F16" s="2">
        <f t="shared" si="17"/>
        <v>233.80000000000007</v>
      </c>
      <c r="G16" s="2">
        <f t="shared" si="17"/>
        <v>242.49999999999997</v>
      </c>
      <c r="H16" s="2">
        <f t="shared" si="17"/>
        <v>248.59999999999997</v>
      </c>
      <c r="I16" s="2">
        <f t="shared" si="17"/>
        <v>251.59999999999994</v>
      </c>
      <c r="J16" s="2">
        <f t="shared" si="17"/>
        <v>253.99999999999997</v>
      </c>
      <c r="K16" s="2">
        <f t="shared" si="17"/>
        <v>258.89999999999998</v>
      </c>
      <c r="L16" s="2"/>
      <c r="M16" s="2"/>
      <c r="P16" s="2">
        <f t="shared" ref="P16:Q16" si="18">+P13+P14+P15</f>
        <v>782.20000000000016</v>
      </c>
      <c r="Q16" s="2">
        <f t="shared" si="18"/>
        <v>880.19999999999982</v>
      </c>
      <c r="R16" s="2">
        <f>+R13+R14+R15</f>
        <v>976.5</v>
      </c>
      <c r="S16" s="2">
        <f t="shared" ref="S16:Z16" si="19">+S13-S14+S15</f>
        <v>0</v>
      </c>
      <c r="T16" s="2">
        <f t="shared" si="19"/>
        <v>0</v>
      </c>
      <c r="U16" s="2">
        <f t="shared" si="19"/>
        <v>0</v>
      </c>
      <c r="V16" s="2">
        <f t="shared" si="19"/>
        <v>0</v>
      </c>
      <c r="W16" s="2">
        <f t="shared" si="19"/>
        <v>0</v>
      </c>
      <c r="X16" s="2">
        <f t="shared" si="19"/>
        <v>0</v>
      </c>
      <c r="Y16" s="2">
        <f t="shared" si="19"/>
        <v>0</v>
      </c>
      <c r="Z16" s="2">
        <f t="shared" si="19"/>
        <v>0</v>
      </c>
    </row>
    <row r="17" spans="1:26" x14ac:dyDescent="0.2">
      <c r="A17" s="1" t="s">
        <v>32</v>
      </c>
      <c r="B17" s="2">
        <v>48.8</v>
      </c>
      <c r="C17" s="2">
        <v>-51.4</v>
      </c>
      <c r="D17" s="2">
        <v>53.4</v>
      </c>
      <c r="E17" s="2">
        <f t="shared" ref="E17" si="20">+Q17-SUM(B17:D17)</f>
        <v>155.60000000000002</v>
      </c>
      <c r="F17" s="2">
        <v>55.1</v>
      </c>
      <c r="G17" s="2">
        <v>56.8</v>
      </c>
      <c r="H17" s="2">
        <v>60.1</v>
      </c>
      <c r="I17" s="2">
        <f>+R17-SUM(F17:H17)</f>
        <v>-13.099999999999994</v>
      </c>
      <c r="J17" s="2">
        <v>59.9</v>
      </c>
      <c r="K17" s="2">
        <v>60.1</v>
      </c>
      <c r="L17" s="2"/>
      <c r="M17" s="2"/>
      <c r="P17" s="2">
        <v>2.6</v>
      </c>
      <c r="Q17" s="2">
        <v>206.4</v>
      </c>
      <c r="R17" s="2">
        <v>158.9</v>
      </c>
      <c r="S17" s="2"/>
      <c r="T17" s="2"/>
      <c r="U17" s="2"/>
      <c r="V17" s="2"/>
      <c r="W17" s="2"/>
      <c r="X17" s="2"/>
      <c r="Y17" s="2"/>
      <c r="Z17" s="2"/>
    </row>
    <row r="18" spans="1:26" x14ac:dyDescent="0.2">
      <c r="A18" s="1" t="s">
        <v>33</v>
      </c>
      <c r="B18" s="2">
        <f t="shared" ref="B18:J18" si="21">+B16-B17</f>
        <v>157.50000000000006</v>
      </c>
      <c r="C18" s="2">
        <f t="shared" si="21"/>
        <v>270.10000000000002</v>
      </c>
      <c r="D18" s="2">
        <f t="shared" si="21"/>
        <v>169.50000000000003</v>
      </c>
      <c r="E18" s="2">
        <f t="shared" si="21"/>
        <v>76.700000000000074</v>
      </c>
      <c r="F18" s="2">
        <f t="shared" si="21"/>
        <v>178.70000000000007</v>
      </c>
      <c r="G18" s="2">
        <f t="shared" si="21"/>
        <v>185.7</v>
      </c>
      <c r="H18" s="2">
        <f t="shared" si="21"/>
        <v>188.49999999999997</v>
      </c>
      <c r="I18" s="2">
        <f t="shared" si="21"/>
        <v>264.69999999999993</v>
      </c>
      <c r="J18" s="2">
        <f t="shared" si="21"/>
        <v>194.09999999999997</v>
      </c>
      <c r="K18" s="2">
        <f>+K16-K17</f>
        <v>198.79999999999998</v>
      </c>
      <c r="L18" s="2"/>
      <c r="M18" s="2"/>
      <c r="P18" s="2">
        <f t="shared" ref="P18:Z18" si="22">+P16-P17</f>
        <v>779.60000000000014</v>
      </c>
      <c r="Q18" s="2">
        <f t="shared" si="22"/>
        <v>673.79999999999984</v>
      </c>
      <c r="R18" s="2">
        <f>+R16-R17</f>
        <v>817.6</v>
      </c>
      <c r="S18" s="2">
        <f t="shared" si="22"/>
        <v>0</v>
      </c>
      <c r="T18" s="2">
        <f t="shared" si="22"/>
        <v>0</v>
      </c>
      <c r="U18" s="2">
        <f t="shared" si="22"/>
        <v>0</v>
      </c>
      <c r="V18" s="2">
        <f t="shared" si="22"/>
        <v>0</v>
      </c>
      <c r="W18" s="2">
        <f t="shared" si="22"/>
        <v>0</v>
      </c>
      <c r="X18" s="2">
        <f t="shared" si="22"/>
        <v>0</v>
      </c>
      <c r="Y18" s="2">
        <f t="shared" si="22"/>
        <v>0</v>
      </c>
      <c r="Z18" s="2">
        <f t="shared" si="22"/>
        <v>0</v>
      </c>
    </row>
    <row r="19" spans="1:26" x14ac:dyDescent="0.2">
      <c r="A19" s="1" t="s">
        <v>34</v>
      </c>
      <c r="B19" s="1">
        <v>110.3</v>
      </c>
      <c r="C19" s="1">
        <v>108.8</v>
      </c>
      <c r="D19" s="1">
        <v>107.1</v>
      </c>
      <c r="F19" s="1">
        <v>105</v>
      </c>
      <c r="G19" s="1">
        <v>104</v>
      </c>
      <c r="H19" s="1">
        <v>103</v>
      </c>
      <c r="J19" s="1">
        <v>100.9</v>
      </c>
      <c r="K19" s="1">
        <v>99</v>
      </c>
      <c r="P19" s="1">
        <v>112.2</v>
      </c>
      <c r="Q19" s="1">
        <v>108</v>
      </c>
      <c r="R19" s="1">
        <v>103.5</v>
      </c>
    </row>
    <row r="20" spans="1:26" x14ac:dyDescent="0.2">
      <c r="A20" s="1" t="s">
        <v>35</v>
      </c>
      <c r="B20" s="7">
        <f t="shared" ref="B20:J20" si="23">+B18/B19</f>
        <v>1.4279238440616506</v>
      </c>
      <c r="C20" s="7">
        <f t="shared" si="23"/>
        <v>2.4825367647058827</v>
      </c>
      <c r="D20" s="7">
        <f t="shared" si="23"/>
        <v>1.5826330532212889</v>
      </c>
      <c r="E20" s="7" t="e">
        <f t="shared" si="23"/>
        <v>#DIV/0!</v>
      </c>
      <c r="F20" s="7">
        <f t="shared" si="23"/>
        <v>1.7019047619047627</v>
      </c>
      <c r="G20" s="7">
        <f t="shared" si="23"/>
        <v>1.785576923076923</v>
      </c>
      <c r="H20" s="7">
        <f t="shared" si="23"/>
        <v>1.8300970873786404</v>
      </c>
      <c r="I20" s="7" t="e">
        <f t="shared" si="23"/>
        <v>#DIV/0!</v>
      </c>
      <c r="J20" s="7">
        <f t="shared" si="23"/>
        <v>1.9236868186323088</v>
      </c>
      <c r="K20" s="7">
        <f>+K18/K19</f>
        <v>2.0080808080808077</v>
      </c>
      <c r="P20" s="7">
        <f t="shared" ref="P20:Z20" si="24">+P18/P19</f>
        <v>6.9483065953654197</v>
      </c>
      <c r="Q20" s="7">
        <f t="shared" si="24"/>
        <v>6.2388888888888872</v>
      </c>
      <c r="R20" s="7">
        <f t="shared" si="24"/>
        <v>7.8995169082125605</v>
      </c>
      <c r="S20" s="7" t="e">
        <f t="shared" si="24"/>
        <v>#DIV/0!</v>
      </c>
      <c r="T20" s="7" t="e">
        <f t="shared" si="24"/>
        <v>#DIV/0!</v>
      </c>
      <c r="U20" s="7" t="e">
        <f t="shared" si="24"/>
        <v>#DIV/0!</v>
      </c>
      <c r="V20" s="7" t="e">
        <f t="shared" si="24"/>
        <v>#DIV/0!</v>
      </c>
      <c r="W20" s="7" t="e">
        <f t="shared" si="24"/>
        <v>#DIV/0!</v>
      </c>
      <c r="X20" s="7" t="e">
        <f t="shared" si="24"/>
        <v>#DIV/0!</v>
      </c>
      <c r="Y20" s="7" t="e">
        <f t="shared" si="24"/>
        <v>#DIV/0!</v>
      </c>
      <c r="Z20" s="7" t="e">
        <f t="shared" si="24"/>
        <v>#DIV/0!</v>
      </c>
    </row>
    <row r="22" spans="1:26" x14ac:dyDescent="0.2">
      <c r="A22" s="1" t="s">
        <v>7</v>
      </c>
      <c r="F22" s="8">
        <f t="shared" ref="F22:F25" si="25">+F2/B2-1</f>
        <v>8.1032947462154947E-2</v>
      </c>
      <c r="G22" s="8">
        <f t="shared" ref="G22:G25" si="26">+G2/C2-1</f>
        <v>7.2325682113469014E-2</v>
      </c>
      <c r="H22" s="8">
        <f t="shared" ref="H22:J25" si="27">+H2/D2-1</f>
        <v>6.1362674566229458E-2</v>
      </c>
      <c r="I22" s="8">
        <f t="shared" ref="I22:I25" si="28">+I2/E2-1</f>
        <v>3.132628152969863E-2</v>
      </c>
      <c r="J22" s="8">
        <f t="shared" si="27"/>
        <v>5.1482701812191056E-2</v>
      </c>
      <c r="K22" s="8">
        <f>+K2/G2-1</f>
        <v>4.0791599353796393E-2</v>
      </c>
      <c r="Q22" s="8">
        <f t="shared" ref="Q22" si="29">+Q2/P2-1</f>
        <v>0.10137436861270999</v>
      </c>
      <c r="R22" s="8">
        <f>+R2/Q2-1</f>
        <v>6.0900170648464202E-2</v>
      </c>
    </row>
    <row r="23" spans="1:26" x14ac:dyDescent="0.2">
      <c r="A23" s="1" t="s">
        <v>8</v>
      </c>
      <c r="F23" s="8">
        <f t="shared" si="25"/>
        <v>-6.1433447098976135E-2</v>
      </c>
      <c r="G23" s="8">
        <f t="shared" si="26"/>
        <v>5.3191489361703592E-3</v>
      </c>
      <c r="H23" s="8">
        <f t="shared" si="27"/>
        <v>4.9090909090909074E-2</v>
      </c>
      <c r="I23" s="8">
        <f t="shared" si="28"/>
        <v>4.99999999999996E-2</v>
      </c>
      <c r="J23" s="8">
        <f t="shared" si="27"/>
        <v>9.6363636363636207E-2</v>
      </c>
      <c r="K23" s="8">
        <f t="shared" ref="K23:K25" si="30">+K3/G3-1</f>
        <v>8.6419753086419693E-2</v>
      </c>
      <c r="Q23" s="8">
        <f t="shared" ref="Q23:R25" si="31">+Q3/P3-1</f>
        <v>-2.4600776866637863E-2</v>
      </c>
      <c r="R23" s="8">
        <f t="shared" si="31"/>
        <v>9.7345132743362761E-3</v>
      </c>
    </row>
    <row r="24" spans="1:26" x14ac:dyDescent="0.2">
      <c r="A24" s="1" t="s">
        <v>9</v>
      </c>
      <c r="F24" s="8">
        <f t="shared" si="25"/>
        <v>0</v>
      </c>
      <c r="G24" s="8">
        <f t="shared" si="26"/>
        <v>-9.8113207547169901E-2</v>
      </c>
      <c r="H24" s="8">
        <f t="shared" si="27"/>
        <v>-0.17910447761194037</v>
      </c>
      <c r="I24" s="8">
        <f t="shared" si="28"/>
        <v>-0.25362318840579712</v>
      </c>
      <c r="J24" s="8">
        <f t="shared" si="27"/>
        <v>-0.17529880478087656</v>
      </c>
      <c r="K24" s="8">
        <f t="shared" si="30"/>
        <v>-0.17154811715481166</v>
      </c>
      <c r="Q24" s="8">
        <f t="shared" si="31"/>
        <v>4.2281219272369608E-2</v>
      </c>
      <c r="R24" s="8">
        <f t="shared" si="31"/>
        <v>-0.13584905660377367</v>
      </c>
    </row>
    <row r="25" spans="1:26" x14ac:dyDescent="0.2">
      <c r="A25" s="1" t="s">
        <v>10</v>
      </c>
      <c r="F25" s="8">
        <f t="shared" si="25"/>
        <v>7.5129533678756522E-2</v>
      </c>
      <c r="G25" s="8">
        <f t="shared" si="26"/>
        <v>0.14960629921259838</v>
      </c>
      <c r="H25" s="8">
        <f t="shared" si="27"/>
        <v>0.18041237113402064</v>
      </c>
      <c r="I25" s="8">
        <f t="shared" si="28"/>
        <v>0.19346733668341676</v>
      </c>
      <c r="J25" s="8">
        <f t="shared" si="27"/>
        <v>0.15662650602409633</v>
      </c>
      <c r="K25" s="8">
        <f t="shared" si="30"/>
        <v>9.5890410958904271E-2</v>
      </c>
      <c r="Q25" s="8">
        <f t="shared" si="31"/>
        <v>8.6773967809657071E-2</v>
      </c>
      <c r="R25" s="8">
        <f t="shared" si="31"/>
        <v>0.15003219575016091</v>
      </c>
    </row>
    <row r="26" spans="1:26" x14ac:dyDescent="0.2">
      <c r="A26" s="5" t="s">
        <v>37</v>
      </c>
      <c r="B26" s="5"/>
      <c r="C26" s="5"/>
      <c r="D26" s="5"/>
      <c r="E26" s="5"/>
      <c r="F26" s="9">
        <f t="shared" ref="F26" si="32">+F7/B7-1</f>
        <v>5.044681464398959E-2</v>
      </c>
      <c r="G26" s="9">
        <f t="shared" ref="G26" si="33">+G7/C7-1</f>
        <v>5.7118499573742376E-2</v>
      </c>
      <c r="H26" s="9">
        <f t="shared" ref="H26:J26" si="34">+H7/D7-1</f>
        <v>5.4356962734659398E-2</v>
      </c>
      <c r="I26" s="9">
        <f t="shared" ref="I26" si="35">+I7/E7-1</f>
        <v>3.0335861321776569E-2</v>
      </c>
      <c r="J26" s="9">
        <f t="shared" si="34"/>
        <v>5.4610318331503871E-2</v>
      </c>
      <c r="K26" s="9">
        <f>+K7/G7-1</f>
        <v>4.0591397849462529E-2</v>
      </c>
      <c r="L26" s="5"/>
      <c r="M26" s="5"/>
      <c r="N26" s="5"/>
      <c r="O26" s="5"/>
      <c r="P26" s="5"/>
      <c r="Q26" s="9">
        <f t="shared" ref="Q26" si="36">+Q7/P7-1</f>
        <v>7.329014763482955E-2</v>
      </c>
      <c r="R26" s="9">
        <f>+R7/Q7-1</f>
        <v>4.7863007930381007E-2</v>
      </c>
    </row>
    <row r="28" spans="1:26" x14ac:dyDescent="0.2">
      <c r="A28" s="1" t="s">
        <v>51</v>
      </c>
      <c r="B28" s="8">
        <f t="shared" ref="B28:E28" si="37">+B9/B7</f>
        <v>0.85384837128855584</v>
      </c>
      <c r="C28" s="8">
        <f t="shared" ref="C28" si="38">+C9/C7</f>
        <v>0.85933503836317138</v>
      </c>
      <c r="D28" s="8">
        <f t="shared" si="37"/>
        <v>0.85990473521994959</v>
      </c>
      <c r="E28" s="8">
        <f t="shared" si="37"/>
        <v>0.86321776814734563</v>
      </c>
      <c r="F28" s="8">
        <f t="shared" ref="F28:H28" si="39">+F9/F7</f>
        <v>0.86306256860592767</v>
      </c>
      <c r="G28" s="8">
        <f t="shared" si="39"/>
        <v>0.8647849462365591</v>
      </c>
      <c r="H28" s="8">
        <f t="shared" si="39"/>
        <v>0.87084772787669407</v>
      </c>
      <c r="I28" s="8">
        <f t="shared" ref="I28" si="40">+I9/I7</f>
        <v>0.87250262881177709</v>
      </c>
      <c r="J28" s="8">
        <f t="shared" ref="J28" si="41">+J9/J7</f>
        <v>0.87223523289097049</v>
      </c>
      <c r="K28" s="8">
        <f>+K9/K7</f>
        <v>0.87832601394988374</v>
      </c>
      <c r="P28" s="8">
        <f t="shared" ref="P28:R28" si="42">+P9/P7</f>
        <v>0.85545344983428739</v>
      </c>
      <c r="Q28" s="8">
        <f t="shared" si="42"/>
        <v>0.85914801038669375</v>
      </c>
      <c r="R28" s="8">
        <f t="shared" si="42"/>
        <v>0.86785881722590585</v>
      </c>
    </row>
    <row r="29" spans="1:26" x14ac:dyDescent="0.2">
      <c r="A29" s="1" t="s">
        <v>52</v>
      </c>
      <c r="B29" s="8">
        <f t="shared" ref="B29:E29" si="43">+B13/B7</f>
        <v>0.6480253675410782</v>
      </c>
      <c r="C29" s="8">
        <f t="shared" ref="C29" si="44">+C13/C7</f>
        <v>0.67064506962205173</v>
      </c>
      <c r="D29" s="8">
        <f t="shared" si="43"/>
        <v>0.66349117399831892</v>
      </c>
      <c r="E29" s="8">
        <f t="shared" si="43"/>
        <v>0.66495124593716148</v>
      </c>
      <c r="F29" s="8">
        <f t="shared" ref="F29:H29" si="45">+F13/F7</f>
        <v>0.66218441273326023</v>
      </c>
      <c r="G29" s="8">
        <f t="shared" si="45"/>
        <v>0.66854838709677411</v>
      </c>
      <c r="H29" s="8">
        <f t="shared" si="45"/>
        <v>0.67579059261227736</v>
      </c>
      <c r="I29" s="8">
        <f t="shared" ref="I29" si="46">+I13/I7</f>
        <v>0.67376445846477384</v>
      </c>
      <c r="J29" s="8">
        <f t="shared" ref="J29" si="47">+J13/J7</f>
        <v>0.67369242779078842</v>
      </c>
      <c r="K29" s="8">
        <f>+K13/K7</f>
        <v>0.68767760268664424</v>
      </c>
      <c r="P29" s="8">
        <f t="shared" ref="P29:R29" si="48">+P13/P7</f>
        <v>0.65290750225971672</v>
      </c>
      <c r="Q29" s="8">
        <f t="shared" si="48"/>
        <v>0.6618710084918239</v>
      </c>
      <c r="R29" s="8">
        <f t="shared" si="48"/>
        <v>0.67014935369365747</v>
      </c>
    </row>
    <row r="30" spans="1:26" x14ac:dyDescent="0.2">
      <c r="A30" s="1" t="s">
        <v>53</v>
      </c>
      <c r="B30" s="8">
        <f t="shared" ref="B30:E30" si="49">+B18/B7</f>
        <v>0.4540213317959067</v>
      </c>
      <c r="C30" s="8">
        <f t="shared" ref="C30" si="50">+C18/C7</f>
        <v>0.76754759874964473</v>
      </c>
      <c r="D30" s="8">
        <f t="shared" si="49"/>
        <v>0.47492294760437098</v>
      </c>
      <c r="E30" s="8">
        <f t="shared" si="49"/>
        <v>0.20774647887323958</v>
      </c>
      <c r="F30" s="8">
        <f t="shared" ref="F30:H30" si="51">+F18/F7</f>
        <v>0.49039517014270051</v>
      </c>
      <c r="G30" s="8">
        <f t="shared" si="51"/>
        <v>0.49919354838709673</v>
      </c>
      <c r="H30" s="8">
        <f t="shared" si="51"/>
        <v>0.5009301089556204</v>
      </c>
      <c r="I30" s="8">
        <f t="shared" ref="I30" si="52">+I18/I7</f>
        <v>0.69584647739221861</v>
      </c>
      <c r="J30" s="8">
        <f t="shared" ref="J30" si="53">+J18/J7</f>
        <v>0.50507416081186562</v>
      </c>
      <c r="K30" s="8">
        <f>+K18/K7</f>
        <v>0.51356238698010848</v>
      </c>
      <c r="P30" s="8">
        <f t="shared" ref="P30:R30" si="54">+P18/P7</f>
        <v>0.58722506779150352</v>
      </c>
      <c r="Q30" s="8">
        <f t="shared" si="54"/>
        <v>0.47287528949399954</v>
      </c>
      <c r="R30" s="8">
        <f t="shared" si="54"/>
        <v>0.54758556024378813</v>
      </c>
    </row>
    <row r="32" spans="1:26" x14ac:dyDescent="0.2">
      <c r="A32" s="1" t="s">
        <v>33</v>
      </c>
      <c r="B32" s="2">
        <f>+B18</f>
        <v>157.50000000000006</v>
      </c>
      <c r="C32" s="2">
        <f>+C18</f>
        <v>270.10000000000002</v>
      </c>
      <c r="D32" s="2">
        <f>+D18</f>
        <v>169.50000000000003</v>
      </c>
      <c r="E32" s="2">
        <f>+E18</f>
        <v>76.700000000000074</v>
      </c>
      <c r="F32" s="2">
        <v>178.7</v>
      </c>
      <c r="G32" s="2">
        <f>364.4-F32</f>
        <v>185.7</v>
      </c>
      <c r="H32" s="2">
        <f>+H18</f>
        <v>188.49999999999997</v>
      </c>
      <c r="I32" s="2">
        <f>+I18</f>
        <v>264.69999999999993</v>
      </c>
      <c r="J32" s="2">
        <v>194.1</v>
      </c>
      <c r="K32" s="2">
        <f>392.9-J32</f>
        <v>198.79999999999998</v>
      </c>
      <c r="P32" s="2">
        <f t="shared" ref="P32:Q32" si="55">+P18</f>
        <v>779.60000000000014</v>
      </c>
      <c r="Q32" s="2">
        <f t="shared" si="55"/>
        <v>673.79999999999984</v>
      </c>
      <c r="R32" s="2">
        <f>+R18</f>
        <v>817.6</v>
      </c>
      <c r="S32" s="2"/>
      <c r="T32" s="2"/>
      <c r="U32" s="2"/>
      <c r="V32" s="2"/>
      <c r="W32" s="2"/>
      <c r="X32" s="2"/>
      <c r="Y32" s="2"/>
      <c r="Z32" s="2"/>
    </row>
    <row r="33" spans="1:26" x14ac:dyDescent="0.2">
      <c r="A33" s="1" t="s">
        <v>38</v>
      </c>
      <c r="B33" s="2">
        <v>11.9</v>
      </c>
      <c r="C33" s="2">
        <f>23.8-B33</f>
        <v>11.9</v>
      </c>
      <c r="D33" s="2"/>
      <c r="E33" s="2"/>
      <c r="F33" s="2">
        <v>11.6</v>
      </c>
      <c r="G33" s="2">
        <f>22.9-F33</f>
        <v>11.299999999999999</v>
      </c>
      <c r="H33" s="2"/>
      <c r="I33" s="2"/>
      <c r="J33" s="2">
        <v>9.8000000000000007</v>
      </c>
      <c r="K33" s="2">
        <f>19.1-J33</f>
        <v>9.3000000000000007</v>
      </c>
      <c r="P33" s="2">
        <v>47.9</v>
      </c>
      <c r="Q33" s="2">
        <v>46.9</v>
      </c>
      <c r="R33" s="2">
        <v>44.1</v>
      </c>
      <c r="S33" s="2"/>
      <c r="T33" s="2"/>
      <c r="U33" s="2"/>
      <c r="V33" s="2"/>
      <c r="W33" s="2"/>
      <c r="X33" s="2"/>
      <c r="Y33" s="2"/>
      <c r="Z33" s="2"/>
    </row>
    <row r="34" spans="1:26" x14ac:dyDescent="0.2">
      <c r="A34" s="1" t="s">
        <v>39</v>
      </c>
      <c r="B34" s="2">
        <v>14.2</v>
      </c>
      <c r="C34" s="2">
        <f>27.9-B34</f>
        <v>13.7</v>
      </c>
      <c r="D34" s="2"/>
      <c r="E34" s="2"/>
      <c r="F34" s="2">
        <v>13.8</v>
      </c>
      <c r="G34" s="2">
        <f>29.5-F34</f>
        <v>15.7</v>
      </c>
      <c r="H34" s="2"/>
      <c r="I34" s="2"/>
      <c r="J34" s="2">
        <v>15.1</v>
      </c>
      <c r="K34" s="2">
        <f>29.4-J34</f>
        <v>14.299999999999999</v>
      </c>
      <c r="P34" s="2">
        <v>53.4</v>
      </c>
      <c r="Q34" s="2">
        <v>58.6</v>
      </c>
      <c r="R34" s="2">
        <v>59.7</v>
      </c>
      <c r="S34" s="2"/>
      <c r="T34" s="2"/>
      <c r="U34" s="2"/>
      <c r="V34" s="2"/>
      <c r="W34" s="2"/>
      <c r="X34" s="2"/>
      <c r="Y34" s="2"/>
      <c r="Z34" s="2"/>
    </row>
    <row r="35" spans="1:26" x14ac:dyDescent="0.2">
      <c r="A35" s="1" t="s">
        <v>40</v>
      </c>
      <c r="B35" s="2">
        <v>0</v>
      </c>
      <c r="C35" s="2">
        <v>0</v>
      </c>
      <c r="D35" s="2"/>
      <c r="E35" s="2"/>
      <c r="F35" s="2">
        <v>-4</v>
      </c>
      <c r="G35" s="2">
        <f>-9.3-F35</f>
        <v>-5.3000000000000007</v>
      </c>
      <c r="H35" s="2"/>
      <c r="I35" s="2"/>
      <c r="J35" s="2">
        <v>-7</v>
      </c>
      <c r="K35" s="2">
        <f>-11.1-J35</f>
        <v>-4.0999999999999996</v>
      </c>
      <c r="P35" s="2">
        <v>-0.4</v>
      </c>
      <c r="Q35" s="2">
        <v>-7.7</v>
      </c>
      <c r="R35" s="2">
        <v>-27.8</v>
      </c>
      <c r="S35" s="2"/>
      <c r="T35" s="2"/>
      <c r="U35" s="2"/>
      <c r="V35" s="2"/>
      <c r="W35" s="2"/>
      <c r="X35" s="2"/>
      <c r="Y35" s="2"/>
      <c r="Z35" s="2"/>
    </row>
    <row r="36" spans="1:26" x14ac:dyDescent="0.2">
      <c r="A36" s="1" t="s">
        <v>10</v>
      </c>
      <c r="B36" s="2">
        <v>0.6</v>
      </c>
      <c r="C36" s="2">
        <f>1.5-B36</f>
        <v>0.9</v>
      </c>
      <c r="D36" s="2"/>
      <c r="E36" s="2"/>
      <c r="F36" s="2">
        <v>1.1000000000000001</v>
      </c>
      <c r="G36" s="2">
        <f>2-F36</f>
        <v>0.89999999999999991</v>
      </c>
      <c r="H36" s="2"/>
      <c r="I36" s="2"/>
      <c r="J36" s="2">
        <v>1</v>
      </c>
      <c r="K36" s="2">
        <f>1.6-J36</f>
        <v>0.60000000000000009</v>
      </c>
      <c r="P36" s="2">
        <v>6.4</v>
      </c>
      <c r="Q36" s="2">
        <v>3.8</v>
      </c>
      <c r="R36" s="2">
        <v>3.3</v>
      </c>
      <c r="S36" s="2"/>
      <c r="T36" s="2"/>
      <c r="U36" s="2"/>
      <c r="V36" s="2"/>
      <c r="W36" s="2"/>
      <c r="X36" s="2"/>
      <c r="Y36" s="2"/>
      <c r="Z36" s="2"/>
    </row>
    <row r="37" spans="1:26" x14ac:dyDescent="0.2">
      <c r="A37" s="1" t="s">
        <v>41</v>
      </c>
      <c r="B37" s="2">
        <f>8.3-14.9+28.3+1.2</f>
        <v>22.900000000000002</v>
      </c>
      <c r="C37" s="2">
        <f>1.1-41.9+28.2-13.4-B37</f>
        <v>-48.900000000000006</v>
      </c>
      <c r="D37" s="2"/>
      <c r="E37" s="2"/>
      <c r="F37" s="2">
        <f>1.9+12.1+41.8+2</f>
        <v>57.8</v>
      </c>
      <c r="G37" s="2">
        <f>-1-48.7+41.5+3-F37</f>
        <v>-63</v>
      </c>
      <c r="H37" s="2"/>
      <c r="I37" s="2"/>
      <c r="J37" s="2">
        <f>-4.1-8+38.6+17.8</f>
        <v>44.3</v>
      </c>
      <c r="K37" s="2">
        <f>-19.2-58.8+42.6+21.2-J37</f>
        <v>-58.5</v>
      </c>
      <c r="P37" s="2">
        <f>-14+1.4-90.5</f>
        <v>-103.1</v>
      </c>
      <c r="Q37" s="2">
        <f>9.5-13.3+65.7-6.2</f>
        <v>55.7</v>
      </c>
      <c r="R37" s="2">
        <f>-1.5-2.2+27-66.4</f>
        <v>-43.100000000000009</v>
      </c>
      <c r="S37" s="2"/>
      <c r="T37" s="2"/>
      <c r="U37" s="2"/>
      <c r="V37" s="2"/>
      <c r="W37" s="2"/>
      <c r="X37" s="2"/>
      <c r="Y37" s="2"/>
      <c r="Z37" s="2"/>
    </row>
    <row r="38" spans="1:26" x14ac:dyDescent="0.2">
      <c r="A38" s="1" t="s">
        <v>42</v>
      </c>
      <c r="B38" s="2">
        <f t="shared" ref="B38:E38" si="56">+SUM(B32:B37)</f>
        <v>207.10000000000005</v>
      </c>
      <c r="C38" s="2">
        <f t="shared" si="56"/>
        <v>247.69999999999996</v>
      </c>
      <c r="D38" s="2">
        <f t="shared" si="56"/>
        <v>169.50000000000003</v>
      </c>
      <c r="E38" s="2">
        <f t="shared" si="56"/>
        <v>76.700000000000074</v>
      </c>
      <c r="F38" s="2">
        <f t="shared" ref="F38" si="57">+SUM(F32:F37)</f>
        <v>259</v>
      </c>
      <c r="G38" s="2">
        <f>+SUM(G32:G37)</f>
        <v>145.29999999999998</v>
      </c>
      <c r="H38" s="2"/>
      <c r="I38" s="2"/>
      <c r="J38" s="2">
        <f t="shared" ref="J38" si="58">+SUM(J32:J37)</f>
        <v>257.3</v>
      </c>
      <c r="K38" s="2">
        <f>+SUM(K32:K37)</f>
        <v>160.4</v>
      </c>
      <c r="P38" s="2">
        <f t="shared" ref="P38:Q38" si="59">+SUM(P32:P37)</f>
        <v>783.80000000000007</v>
      </c>
      <c r="Q38" s="2">
        <f t="shared" si="59"/>
        <v>831.0999999999998</v>
      </c>
      <c r="R38" s="2">
        <f>+SUM(R32:R37)</f>
        <v>853.80000000000007</v>
      </c>
      <c r="S38" s="2"/>
      <c r="T38" s="2"/>
      <c r="U38" s="2"/>
      <c r="V38" s="2"/>
      <c r="W38" s="2"/>
      <c r="X38" s="2"/>
      <c r="Y38" s="2"/>
      <c r="Z38" s="2"/>
    </row>
    <row r="39" spans="1:26" x14ac:dyDescent="0.2">
      <c r="B39" s="2"/>
      <c r="C39" s="2"/>
      <c r="D39" s="2"/>
      <c r="E39" s="2"/>
      <c r="F39" s="2"/>
      <c r="G39" s="2"/>
      <c r="H39" s="2"/>
      <c r="I39" s="2"/>
      <c r="J39" s="2"/>
      <c r="K39" s="2"/>
      <c r="P39" s="2"/>
      <c r="Q39" s="2"/>
      <c r="R39" s="2"/>
      <c r="S39" s="2"/>
      <c r="T39" s="2"/>
      <c r="U39" s="2"/>
      <c r="V39" s="2"/>
      <c r="W39" s="2"/>
      <c r="X39" s="2"/>
      <c r="Y39" s="2"/>
      <c r="Z39" s="2"/>
    </row>
    <row r="40" spans="1:26" x14ac:dyDescent="0.2">
      <c r="A40" s="1" t="s">
        <v>43</v>
      </c>
      <c r="B40" s="2">
        <v>696</v>
      </c>
      <c r="C40" s="2">
        <f>1057.4-B40</f>
        <v>361.40000000000009</v>
      </c>
      <c r="D40" s="2"/>
      <c r="E40" s="2"/>
      <c r="F40" s="2">
        <v>562</v>
      </c>
      <c r="G40" s="2">
        <f>721.3-F40</f>
        <v>159.29999999999995</v>
      </c>
      <c r="H40" s="2"/>
      <c r="I40" s="2"/>
      <c r="J40" s="2">
        <v>658</v>
      </c>
      <c r="K40" s="2">
        <f>727.6-J40</f>
        <v>69.600000000000023</v>
      </c>
      <c r="P40" s="2">
        <v>2654.5</v>
      </c>
      <c r="Q40" s="2">
        <v>1721.5</v>
      </c>
      <c r="R40" s="2">
        <v>1278.9000000000001</v>
      </c>
      <c r="S40" s="2"/>
      <c r="T40" s="2"/>
      <c r="U40" s="2"/>
      <c r="V40" s="2"/>
      <c r="W40" s="2"/>
      <c r="X40" s="2"/>
      <c r="Y40" s="2"/>
      <c r="Z40" s="2"/>
    </row>
    <row r="41" spans="1:26" x14ac:dyDescent="0.2">
      <c r="A41" s="1" t="s">
        <v>44</v>
      </c>
      <c r="B41" s="2">
        <v>-164.9</v>
      </c>
      <c r="C41" s="2">
        <f>-465.2-B41</f>
        <v>-300.29999999999995</v>
      </c>
      <c r="D41" s="2"/>
      <c r="E41" s="2"/>
      <c r="F41" s="2">
        <v>-146.5</v>
      </c>
      <c r="G41" s="2">
        <f>-697.6-F41</f>
        <v>-551.1</v>
      </c>
      <c r="H41" s="2"/>
      <c r="I41" s="2"/>
      <c r="J41" s="2">
        <v>-157.80000000000001</v>
      </c>
      <c r="K41" s="2">
        <f>-468.1-J41</f>
        <v>-310.3</v>
      </c>
      <c r="P41" s="2">
        <v>-2870.7</v>
      </c>
      <c r="Q41" s="2">
        <v>-1338.4</v>
      </c>
      <c r="R41" s="2">
        <v>-1330.5</v>
      </c>
      <c r="S41" s="2"/>
      <c r="T41" s="2"/>
      <c r="U41" s="2"/>
      <c r="V41" s="2"/>
      <c r="W41" s="2"/>
      <c r="X41" s="2"/>
      <c r="Y41" s="2"/>
      <c r="Z41" s="2"/>
    </row>
    <row r="42" spans="1:26" x14ac:dyDescent="0.2">
      <c r="A42" s="1" t="s">
        <v>45</v>
      </c>
      <c r="B42" s="2">
        <v>-6.6</v>
      </c>
      <c r="C42" s="2">
        <f>-12.8-B42</f>
        <v>-6.2000000000000011</v>
      </c>
      <c r="D42" s="2"/>
      <c r="E42" s="2"/>
      <c r="F42" s="2">
        <v>-5.7</v>
      </c>
      <c r="G42" s="2">
        <f>-12.2-F42</f>
        <v>-6.4999999999999991</v>
      </c>
      <c r="H42" s="2"/>
      <c r="I42" s="2"/>
      <c r="J42" s="2">
        <v>-3.8</v>
      </c>
      <c r="K42" s="2">
        <f>-13-J42</f>
        <v>-9.1999999999999993</v>
      </c>
      <c r="P42" s="2">
        <v>-53</v>
      </c>
      <c r="Q42" s="2">
        <v>-27.4</v>
      </c>
      <c r="R42" s="2">
        <v>-45.8</v>
      </c>
      <c r="S42" s="2"/>
      <c r="T42" s="2"/>
      <c r="U42" s="2"/>
      <c r="V42" s="2"/>
      <c r="W42" s="2"/>
      <c r="X42" s="2"/>
      <c r="Y42" s="2"/>
      <c r="Z42" s="2"/>
    </row>
    <row r="43" spans="1:26" x14ac:dyDescent="0.2">
      <c r="A43" s="1" t="s">
        <v>46</v>
      </c>
      <c r="B43" s="2">
        <f t="shared" ref="B43:J43" si="60">+SUM(B40:B42)</f>
        <v>524.5</v>
      </c>
      <c r="C43" s="2">
        <f t="shared" si="60"/>
        <v>54.900000000000134</v>
      </c>
      <c r="D43" s="2">
        <f t="shared" si="60"/>
        <v>0</v>
      </c>
      <c r="E43" s="2">
        <f t="shared" si="60"/>
        <v>0</v>
      </c>
      <c r="F43" s="2">
        <f t="shared" si="60"/>
        <v>409.8</v>
      </c>
      <c r="G43" s="2">
        <f t="shared" si="60"/>
        <v>-398.30000000000007</v>
      </c>
      <c r="H43" s="2">
        <f t="shared" si="60"/>
        <v>0</v>
      </c>
      <c r="I43" s="2">
        <f t="shared" si="60"/>
        <v>0</v>
      </c>
      <c r="J43" s="2">
        <f t="shared" si="60"/>
        <v>496.4</v>
      </c>
      <c r="K43" s="2">
        <f>+SUM(K40:K42)</f>
        <v>-249.89999999999998</v>
      </c>
      <c r="P43" s="2">
        <f t="shared" ref="P43:Q43" si="61">+SUM(P40:P42)</f>
        <v>-269.19999999999982</v>
      </c>
      <c r="Q43" s="2">
        <f t="shared" si="61"/>
        <v>355.69999999999993</v>
      </c>
      <c r="R43" s="2">
        <f>+SUM(R40:R42)</f>
        <v>-97.399999999999906</v>
      </c>
      <c r="S43" s="2"/>
      <c r="T43" s="2"/>
      <c r="U43" s="2"/>
      <c r="V43" s="2"/>
      <c r="W43" s="2"/>
      <c r="X43" s="2"/>
      <c r="Y43" s="2"/>
      <c r="Z43" s="2"/>
    </row>
    <row r="44" spans="1:26" x14ac:dyDescent="0.2">
      <c r="B44" s="2"/>
      <c r="C44" s="2"/>
      <c r="D44" s="2"/>
      <c r="E44" s="2"/>
      <c r="F44" s="2"/>
      <c r="G44" s="2"/>
      <c r="H44" s="2"/>
      <c r="I44" s="2"/>
      <c r="J44" s="2"/>
      <c r="K44" s="2"/>
      <c r="P44" s="2"/>
      <c r="Q44" s="2"/>
      <c r="R44" s="2"/>
      <c r="S44" s="2"/>
      <c r="T44" s="2"/>
      <c r="U44" s="2"/>
      <c r="V44" s="2"/>
      <c r="W44" s="2"/>
      <c r="X44" s="2"/>
      <c r="Y44" s="2"/>
      <c r="Z44" s="2"/>
    </row>
    <row r="45" spans="1:26" x14ac:dyDescent="0.2">
      <c r="A45" s="1" t="s">
        <v>47</v>
      </c>
      <c r="B45" s="2">
        <v>-204</v>
      </c>
      <c r="C45" s="2">
        <f>-556.1-B45</f>
        <v>-352.1</v>
      </c>
      <c r="D45" s="2"/>
      <c r="E45" s="2"/>
      <c r="F45" s="2">
        <v>-230.5</v>
      </c>
      <c r="G45" s="2">
        <f>-453.4-F45</f>
        <v>-222.89999999999998</v>
      </c>
      <c r="H45" s="2"/>
      <c r="I45" s="2"/>
      <c r="J45" s="2">
        <v>-269.89999999999998</v>
      </c>
      <c r="K45" s="2">
        <f>-660.2-J45</f>
        <v>-390.30000000000007</v>
      </c>
      <c r="P45" s="2">
        <v>722.6</v>
      </c>
      <c r="Q45" s="2">
        <v>-1048.0999999999999</v>
      </c>
      <c r="R45" s="2">
        <v>-901.4</v>
      </c>
      <c r="S45" s="2"/>
      <c r="T45" s="2"/>
      <c r="U45" s="2"/>
      <c r="V45" s="2"/>
      <c r="W45" s="2"/>
      <c r="X45" s="2"/>
      <c r="Y45" s="2"/>
      <c r="Z45" s="2"/>
    </row>
    <row r="46" spans="1:26" x14ac:dyDescent="0.2">
      <c r="A46" s="1" t="s">
        <v>48</v>
      </c>
      <c r="B46" s="2">
        <v>8.1999999999999993</v>
      </c>
      <c r="C46" s="2">
        <f>8.2-B46</f>
        <v>0</v>
      </c>
      <c r="D46" s="2"/>
      <c r="E46" s="2"/>
      <c r="F46" s="2">
        <v>8</v>
      </c>
      <c r="G46" s="2">
        <f>8-F46</f>
        <v>0</v>
      </c>
      <c r="H46" s="2"/>
      <c r="I46" s="2"/>
      <c r="J46" s="2">
        <v>8.3000000000000007</v>
      </c>
      <c r="K46" s="2">
        <f>8.3-J46</f>
        <v>0</v>
      </c>
      <c r="P46" s="2">
        <v>12.4</v>
      </c>
      <c r="Q46" s="2">
        <v>12.3</v>
      </c>
      <c r="R46" s="2">
        <v>12.3</v>
      </c>
      <c r="S46" s="2"/>
      <c r="T46" s="2"/>
      <c r="U46" s="2"/>
      <c r="V46" s="2"/>
      <c r="W46" s="2"/>
      <c r="X46" s="2"/>
      <c r="Y46" s="2"/>
      <c r="Z46" s="2"/>
    </row>
    <row r="47" spans="1:26" x14ac:dyDescent="0.2">
      <c r="B47" s="2"/>
      <c r="C47" s="2"/>
      <c r="D47" s="2"/>
      <c r="E47" s="2"/>
      <c r="F47" s="2"/>
      <c r="G47" s="2"/>
      <c r="H47" s="2"/>
      <c r="I47" s="2"/>
      <c r="J47" s="2"/>
      <c r="K47" s="2"/>
      <c r="P47" s="2">
        <f>-750+741.1</f>
        <v>-8.8999999999999773</v>
      </c>
      <c r="Q47" s="2"/>
      <c r="R47" s="2"/>
      <c r="S47" s="2"/>
      <c r="T47" s="2"/>
      <c r="U47" s="2"/>
      <c r="V47" s="2"/>
      <c r="W47" s="2"/>
      <c r="X47" s="2"/>
      <c r="Y47" s="2"/>
      <c r="Z47" s="2"/>
    </row>
    <row r="48" spans="1:26" x14ac:dyDescent="0.2">
      <c r="A48" s="1" t="s">
        <v>49</v>
      </c>
      <c r="B48" s="2">
        <f t="shared" ref="B48:J48" si="62">+SUM(B45:B46)</f>
        <v>-195.8</v>
      </c>
      <c r="C48" s="2">
        <f t="shared" si="62"/>
        <v>-352.1</v>
      </c>
      <c r="D48" s="2">
        <f t="shared" si="62"/>
        <v>0</v>
      </c>
      <c r="E48" s="2">
        <f t="shared" si="62"/>
        <v>0</v>
      </c>
      <c r="F48" s="2">
        <f t="shared" si="62"/>
        <v>-222.5</v>
      </c>
      <c r="G48" s="2">
        <f t="shared" si="62"/>
        <v>-222.89999999999998</v>
      </c>
      <c r="H48" s="2">
        <f t="shared" si="62"/>
        <v>0</v>
      </c>
      <c r="I48" s="2">
        <f t="shared" si="62"/>
        <v>0</v>
      </c>
      <c r="J48" s="2">
        <f t="shared" si="62"/>
        <v>-261.59999999999997</v>
      </c>
      <c r="K48" s="2">
        <f>+SUM(K45:K46)</f>
        <v>-390.30000000000007</v>
      </c>
      <c r="P48" s="2">
        <f t="shared" ref="P48:Q48" si="63">+SUM(P45:P47)</f>
        <v>726.1</v>
      </c>
      <c r="Q48" s="2">
        <f t="shared" si="63"/>
        <v>-1035.8</v>
      </c>
      <c r="R48" s="2">
        <f>+SUM(R45:R47)</f>
        <v>-889.1</v>
      </c>
      <c r="S48" s="2"/>
      <c r="T48" s="2"/>
      <c r="U48" s="2"/>
      <c r="V48" s="2"/>
      <c r="W48" s="2"/>
      <c r="X48" s="2"/>
      <c r="Y48" s="2"/>
      <c r="Z48" s="2"/>
    </row>
    <row r="49" spans="1:26" x14ac:dyDescent="0.2">
      <c r="P49" s="2"/>
      <c r="Q49" s="2"/>
      <c r="R49" s="2"/>
      <c r="S49" s="2"/>
      <c r="T49" s="2"/>
      <c r="U49" s="2"/>
      <c r="V49" s="2"/>
      <c r="W49" s="2"/>
      <c r="X49" s="2"/>
      <c r="Y49" s="2"/>
      <c r="Z49" s="2"/>
    </row>
    <row r="50" spans="1:26" x14ac:dyDescent="0.2">
      <c r="A50" s="1" t="s">
        <v>50</v>
      </c>
      <c r="B50" s="2">
        <f t="shared" ref="B50:J50" si="64">+B38+B42</f>
        <v>200.50000000000006</v>
      </c>
      <c r="C50" s="2">
        <f t="shared" si="64"/>
        <v>241.49999999999997</v>
      </c>
      <c r="D50" s="2">
        <f t="shared" si="64"/>
        <v>169.50000000000003</v>
      </c>
      <c r="E50" s="2">
        <f t="shared" si="64"/>
        <v>76.700000000000074</v>
      </c>
      <c r="F50" s="2">
        <f t="shared" si="64"/>
        <v>253.3</v>
      </c>
      <c r="G50" s="2">
        <f t="shared" si="64"/>
        <v>138.79999999999998</v>
      </c>
      <c r="H50" s="2">
        <f t="shared" si="64"/>
        <v>0</v>
      </c>
      <c r="I50" s="2">
        <f t="shared" si="64"/>
        <v>0</v>
      </c>
      <c r="J50" s="2">
        <f t="shared" si="64"/>
        <v>253.5</v>
      </c>
      <c r="K50" s="2">
        <f>+K38+K42</f>
        <v>151.20000000000002</v>
      </c>
      <c r="P50" s="2">
        <f t="shared" ref="P50" si="65">+P38+P42</f>
        <v>730.80000000000007</v>
      </c>
      <c r="Q50" s="2">
        <f>+Q38+Q42</f>
        <v>803.69999999999982</v>
      </c>
      <c r="R50" s="2">
        <f>+R38+R42</f>
        <v>808.00000000000011</v>
      </c>
      <c r="S50" s="2"/>
      <c r="T50" s="2"/>
      <c r="U50" s="2"/>
      <c r="V50" s="2"/>
      <c r="W50" s="2"/>
      <c r="X50" s="2"/>
      <c r="Y50" s="2"/>
      <c r="Z50" s="2"/>
    </row>
    <row r="52" spans="1:26" x14ac:dyDescent="0.2">
      <c r="A52" s="1" t="s">
        <v>58</v>
      </c>
      <c r="P52" s="1">
        <v>173.4</v>
      </c>
      <c r="Q52" s="1">
        <v>173.8</v>
      </c>
      <c r="R52" s="1">
        <v>172.7</v>
      </c>
    </row>
    <row r="53" spans="1:26" x14ac:dyDescent="0.2">
      <c r="P53" s="11"/>
      <c r="Q53" s="11"/>
      <c r="R53" s="11"/>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alexandreduartemorais@gmail.com</dc:creator>
  <cp:lastModifiedBy>Alexandre Duarte Morais</cp:lastModifiedBy>
  <dcterms:created xsi:type="dcterms:W3CDTF">2024-09-24T12:50:30Z</dcterms:created>
  <dcterms:modified xsi:type="dcterms:W3CDTF">2024-12-29T10:26:29Z</dcterms:modified>
</cp:coreProperties>
</file>