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464" documentId="8_{BB6D9563-47BB-4853-B2D4-DD1CC1C9BD60}" xr6:coauthVersionLast="47" xr6:coauthVersionMax="47" xr10:uidLastSave="{4BAF7B22-AC6B-4E23-A7FD-0B5F12664E4E}"/>
  <bookViews>
    <workbookView xWindow="-108" yWindow="-108" windowWidth="23256" windowHeight="12456" activeTab="1" xr2:uid="{AFF4DAB4-728B-4013-A50B-96B3F82082E9}"/>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 i="2" l="1"/>
  <c r="S15" i="2" s="1"/>
  <c r="T15" i="2" s="1"/>
  <c r="U15" i="2" s="1"/>
  <c r="Q15" i="2"/>
  <c r="U13" i="2"/>
  <c r="T13" i="2"/>
  <c r="S13" i="2"/>
  <c r="R13" i="2"/>
  <c r="T7" i="2"/>
  <c r="U7" i="2" s="1"/>
  <c r="U25" i="2" s="1"/>
  <c r="S7" i="2"/>
  <c r="S6" i="2"/>
  <c r="T6" i="2" s="1"/>
  <c r="U6" i="2" s="1"/>
  <c r="P17" i="2"/>
  <c r="Q11" i="2"/>
  <c r="P11" i="2"/>
  <c r="O10" i="2"/>
  <c r="N10" i="2"/>
  <c r="N12" i="2" s="1"/>
  <c r="N18" i="2" s="1"/>
  <c r="N20" i="2" s="1"/>
  <c r="N31" i="2" s="1"/>
  <c r="P10" i="2"/>
  <c r="P6" i="2"/>
  <c r="N11" i="2"/>
  <c r="O12" i="2"/>
  <c r="O11" i="2"/>
  <c r="O40" i="2"/>
  <c r="J38" i="2"/>
  <c r="I38" i="2"/>
  <c r="H38" i="2"/>
  <c r="G38" i="2"/>
  <c r="F38" i="2"/>
  <c r="E38" i="2"/>
  <c r="D38" i="2"/>
  <c r="C38" i="2"/>
  <c r="J37" i="2"/>
  <c r="I37" i="2"/>
  <c r="H37" i="2"/>
  <c r="G37" i="2"/>
  <c r="F37" i="2"/>
  <c r="E37" i="2"/>
  <c r="D37" i="2"/>
  <c r="C37" i="2"/>
  <c r="N38" i="2"/>
  <c r="O38" i="2"/>
  <c r="M38" i="2"/>
  <c r="L38" i="2"/>
  <c r="N37" i="2"/>
  <c r="M37" i="2"/>
  <c r="L37" i="2"/>
  <c r="O37" i="2"/>
  <c r="P15" i="2"/>
  <c r="Q14" i="2"/>
  <c r="R14" i="2" s="1"/>
  <c r="S14" i="2" s="1"/>
  <c r="T14" i="2" s="1"/>
  <c r="U14" i="2" s="1"/>
  <c r="P14" i="2"/>
  <c r="P9" i="2"/>
  <c r="P27" i="2" s="1"/>
  <c r="Q8" i="2"/>
  <c r="Q26" i="2" s="1"/>
  <c r="P8" i="2"/>
  <c r="Q7" i="2"/>
  <c r="R7" i="2" s="1"/>
  <c r="P7" i="2"/>
  <c r="Q6" i="2"/>
  <c r="P26" i="2"/>
  <c r="Q25" i="2"/>
  <c r="P25" i="2"/>
  <c r="Q24" i="2"/>
  <c r="P24" i="2"/>
  <c r="M35" i="2"/>
  <c r="L35" i="2"/>
  <c r="L34" i="2"/>
  <c r="M34" i="2"/>
  <c r="M31" i="2"/>
  <c r="L31" i="2"/>
  <c r="M30" i="2"/>
  <c r="L30" i="2"/>
  <c r="N28" i="2"/>
  <c r="M28" i="2"/>
  <c r="L19" i="2"/>
  <c r="L16" i="2"/>
  <c r="L15" i="2"/>
  <c r="M19" i="2"/>
  <c r="M16" i="2"/>
  <c r="M15" i="2"/>
  <c r="O27" i="2"/>
  <c r="O26" i="2"/>
  <c r="O25" i="2"/>
  <c r="O24" i="2"/>
  <c r="N9" i="2"/>
  <c r="N8" i="2"/>
  <c r="N7" i="2"/>
  <c r="N6" i="2"/>
  <c r="C31" i="2"/>
  <c r="C30" i="2"/>
  <c r="C19" i="2"/>
  <c r="C16" i="2"/>
  <c r="C15" i="2"/>
  <c r="C9" i="2"/>
  <c r="C8" i="2"/>
  <c r="C7" i="2"/>
  <c r="C6" i="2"/>
  <c r="J31" i="2"/>
  <c r="I31" i="2"/>
  <c r="H31" i="2"/>
  <c r="G31" i="2"/>
  <c r="J30" i="2"/>
  <c r="I30" i="2"/>
  <c r="H30" i="2"/>
  <c r="G30" i="2"/>
  <c r="E31" i="2"/>
  <c r="D31" i="2"/>
  <c r="E30" i="2"/>
  <c r="D30" i="2"/>
  <c r="E19" i="2"/>
  <c r="E16" i="2"/>
  <c r="E15" i="2"/>
  <c r="E9" i="2"/>
  <c r="E10" i="2" s="1"/>
  <c r="E12" i="2" s="1"/>
  <c r="E18" i="2" s="1"/>
  <c r="E20" i="2" s="1"/>
  <c r="E8" i="2"/>
  <c r="E7" i="2"/>
  <c r="E6" i="2"/>
  <c r="O9" i="2"/>
  <c r="O8" i="2"/>
  <c r="O7" i="2"/>
  <c r="O6" i="2"/>
  <c r="I28" i="2"/>
  <c r="H28" i="2"/>
  <c r="G28" i="2"/>
  <c r="I27" i="2"/>
  <c r="H27" i="2"/>
  <c r="G27" i="2"/>
  <c r="I26" i="2"/>
  <c r="H26" i="2"/>
  <c r="G26" i="2"/>
  <c r="I25" i="2"/>
  <c r="H25" i="2"/>
  <c r="G25" i="2"/>
  <c r="I24" i="2"/>
  <c r="H24" i="2"/>
  <c r="G24" i="2"/>
  <c r="D19" i="2"/>
  <c r="D16" i="2"/>
  <c r="D15" i="2"/>
  <c r="G19" i="2"/>
  <c r="G16" i="2"/>
  <c r="G15" i="2"/>
  <c r="H19" i="2"/>
  <c r="H16" i="2"/>
  <c r="H15" i="2"/>
  <c r="D9" i="2"/>
  <c r="G9" i="2"/>
  <c r="H9" i="2"/>
  <c r="D8" i="2"/>
  <c r="G8" i="2"/>
  <c r="H8" i="2"/>
  <c r="H10" i="2" s="1"/>
  <c r="H12" i="2" s="1"/>
  <c r="D7" i="2"/>
  <c r="G7" i="2"/>
  <c r="H7" i="2"/>
  <c r="D6" i="2"/>
  <c r="G6" i="2"/>
  <c r="H6" i="2"/>
  <c r="N35" i="2"/>
  <c r="O35" i="2"/>
  <c r="N34" i="2"/>
  <c r="O34" i="2"/>
  <c r="N19" i="2"/>
  <c r="O19" i="2"/>
  <c r="N16" i="2"/>
  <c r="N15" i="2"/>
  <c r="O16" i="2"/>
  <c r="O15" i="2"/>
  <c r="L18" i="2"/>
  <c r="L20" i="2" s="1"/>
  <c r="O30" i="2"/>
  <c r="M12" i="2"/>
  <c r="M18" i="2" s="1"/>
  <c r="M20" i="2" s="1"/>
  <c r="L12" i="2"/>
  <c r="N2" i="2"/>
  <c r="O2" i="2" s="1"/>
  <c r="P2" i="2" s="1"/>
  <c r="Q2" i="2" s="1"/>
  <c r="R2" i="2" s="1"/>
  <c r="S2" i="2" s="1"/>
  <c r="T2" i="2" s="1"/>
  <c r="U2" i="2" s="1"/>
  <c r="M2" i="2"/>
  <c r="F31" i="2"/>
  <c r="F30" i="2"/>
  <c r="F19" i="2"/>
  <c r="F16" i="2"/>
  <c r="F15" i="2"/>
  <c r="I19" i="2"/>
  <c r="I20" i="2"/>
  <c r="J20" i="2"/>
  <c r="J19" i="2"/>
  <c r="I16" i="2"/>
  <c r="I15" i="2"/>
  <c r="J18" i="2"/>
  <c r="J16" i="2"/>
  <c r="J15" i="2"/>
  <c r="I12" i="2"/>
  <c r="F12" i="2"/>
  <c r="J12" i="2"/>
  <c r="J27" i="2"/>
  <c r="J26" i="2"/>
  <c r="J25" i="2"/>
  <c r="J24" i="2"/>
  <c r="J28" i="2"/>
  <c r="F9" i="2"/>
  <c r="I9" i="2"/>
  <c r="J9" i="2"/>
  <c r="F8" i="2"/>
  <c r="I8" i="2"/>
  <c r="J8" i="2"/>
  <c r="G10" i="2"/>
  <c r="G12" i="2" s="1"/>
  <c r="G18" i="2" s="1"/>
  <c r="G20" i="2" s="1"/>
  <c r="D10" i="2"/>
  <c r="D12" i="2" s="1"/>
  <c r="C10" i="2"/>
  <c r="C12" i="2" s="1"/>
  <c r="C18" i="2" s="1"/>
  <c r="C20" i="2" s="1"/>
  <c r="F7" i="2"/>
  <c r="I7" i="2"/>
  <c r="J7" i="2"/>
  <c r="F6" i="2"/>
  <c r="I6" i="2"/>
  <c r="J6" i="2"/>
  <c r="C9" i="1" a="1"/>
  <c r="C9" i="1" s="1"/>
  <c r="K3" i="1" a="1"/>
  <c r="K3" i="1" s="1"/>
  <c r="K5" i="1" s="1"/>
  <c r="K8" i="1" s="1"/>
  <c r="K12" i="1" s="1"/>
  <c r="O28" i="2" l="1"/>
  <c r="N30" i="2"/>
  <c r="Q9" i="2"/>
  <c r="Q27" i="2" s="1"/>
  <c r="P13" i="2"/>
  <c r="Q10" i="2"/>
  <c r="P12" i="2"/>
  <c r="P18" i="2" s="1"/>
  <c r="R9" i="2"/>
  <c r="R8" i="2"/>
  <c r="T25" i="2"/>
  <c r="S25" i="2"/>
  <c r="R25" i="2"/>
  <c r="R6" i="2"/>
  <c r="Q28" i="2"/>
  <c r="P28" i="2"/>
  <c r="D18" i="2"/>
  <c r="D20" i="2" s="1"/>
  <c r="H18" i="2"/>
  <c r="H20" i="2" s="1"/>
  <c r="O18" i="2"/>
  <c r="O20" i="2" s="1"/>
  <c r="O31" i="2" s="1"/>
  <c r="F18" i="2"/>
  <c r="F20" i="2" s="1"/>
  <c r="I18" i="2"/>
  <c r="J10" i="2"/>
  <c r="F10" i="2"/>
  <c r="I10" i="2"/>
  <c r="K9" i="1"/>
  <c r="Q12" i="2" l="1"/>
  <c r="Q13" i="2"/>
  <c r="P19" i="2"/>
  <c r="P20" i="2" s="1"/>
  <c r="P30" i="2"/>
  <c r="R27" i="2"/>
  <c r="S9" i="2"/>
  <c r="S8" i="2"/>
  <c r="R26" i="2"/>
  <c r="R24" i="2"/>
  <c r="R10" i="2"/>
  <c r="R11" i="2" s="1"/>
  <c r="Q30" i="2" l="1"/>
  <c r="P31" i="2"/>
  <c r="P40" i="2"/>
  <c r="S27" i="2"/>
  <c r="T9" i="2"/>
  <c r="T8" i="2"/>
  <c r="S26" i="2"/>
  <c r="R28" i="2"/>
  <c r="R12" i="2"/>
  <c r="S10" i="2"/>
  <c r="S11" i="2" s="1"/>
  <c r="S24" i="2"/>
  <c r="Q17" i="2" l="1"/>
  <c r="Q18" i="2" s="1"/>
  <c r="Q19" i="2" s="1"/>
  <c r="Q20" i="2" s="1"/>
  <c r="Q31" i="2" s="1"/>
  <c r="U9" i="2"/>
  <c r="U27" i="2" s="1"/>
  <c r="T27" i="2"/>
  <c r="U8" i="2"/>
  <c r="U26" i="2" s="1"/>
  <c r="T26" i="2"/>
  <c r="S28" i="2"/>
  <c r="S12" i="2"/>
  <c r="T24" i="2"/>
  <c r="T10" i="2"/>
  <c r="T11" i="2" s="1"/>
  <c r="R30" i="2"/>
  <c r="Q40" i="2" l="1"/>
  <c r="R17" i="2" s="1"/>
  <c r="R18" i="2" s="1"/>
  <c r="R19" i="2" s="1"/>
  <c r="R20" i="2" s="1"/>
  <c r="T28" i="2"/>
  <c r="T12" i="2"/>
  <c r="U24" i="2"/>
  <c r="U10" i="2"/>
  <c r="U11" i="2" s="1"/>
  <c r="S30" i="2"/>
  <c r="R31" i="2" l="1"/>
  <c r="R40" i="2"/>
  <c r="S17" i="2" s="1"/>
  <c r="S18" i="2" s="1"/>
  <c r="S19" i="2" s="1"/>
  <c r="S20" i="2" s="1"/>
  <c r="U28" i="2"/>
  <c r="U12" i="2"/>
  <c r="T30" i="2"/>
  <c r="S31" i="2" l="1"/>
  <c r="S40" i="2"/>
  <c r="T17" i="2" s="1"/>
  <c r="T18" i="2" s="1"/>
  <c r="T19" i="2" s="1"/>
  <c r="T20" i="2" s="1"/>
  <c r="U30" i="2"/>
  <c r="T31" i="2" l="1"/>
  <c r="T40" i="2"/>
  <c r="U17" i="2" s="1"/>
  <c r="U18" i="2" s="1"/>
  <c r="U19" i="2" s="1"/>
  <c r="U20" i="2" s="1"/>
  <c r="V20" i="2" s="1"/>
  <c r="W20" i="2" s="1"/>
  <c r="X20" i="2" s="1"/>
  <c r="Y20" i="2" s="1"/>
  <c r="Z20" i="2" s="1"/>
  <c r="AA20" i="2" s="1"/>
  <c r="AB20" i="2" s="1"/>
  <c r="AC20" i="2" s="1"/>
  <c r="AD20" i="2" s="1"/>
  <c r="AE20" i="2" s="1"/>
  <c r="AF20" i="2" s="1"/>
  <c r="AG20" i="2" s="1"/>
  <c r="AH20" i="2" s="1"/>
  <c r="AI20" i="2" s="1"/>
  <c r="AJ20" i="2" s="1"/>
  <c r="AK20" i="2" s="1"/>
  <c r="AL20" i="2" s="1"/>
  <c r="AM20" i="2" s="1"/>
  <c r="AN20" i="2" s="1"/>
  <c r="AO20" i="2" s="1"/>
  <c r="AP20" i="2" s="1"/>
  <c r="AQ20" i="2" s="1"/>
  <c r="AR20" i="2" s="1"/>
  <c r="AS20" i="2" s="1"/>
  <c r="AT20" i="2" s="1"/>
  <c r="AU20" i="2" s="1"/>
  <c r="AV20" i="2" s="1"/>
  <c r="AW20" i="2" s="1"/>
  <c r="AX20" i="2" s="1"/>
  <c r="AY20" i="2" s="1"/>
  <c r="AZ20" i="2" s="1"/>
  <c r="BA20" i="2" s="1"/>
  <c r="BB20" i="2" s="1"/>
  <c r="BC20" i="2" s="1"/>
  <c r="BD20" i="2" s="1"/>
  <c r="BE20" i="2" s="1"/>
  <c r="BF20" i="2" s="1"/>
  <c r="BG20" i="2" s="1"/>
  <c r="BH20" i="2" s="1"/>
  <c r="BI20" i="2" s="1"/>
  <c r="BJ20" i="2" s="1"/>
  <c r="X6" i="2" l="1"/>
  <c r="X7" i="2" s="1"/>
  <c r="U31" i="2"/>
  <c r="U4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<sst xmlns="http://schemas.openxmlformats.org/spreadsheetml/2006/main" count="76" uniqueCount="66">
  <si>
    <t>Ticket</t>
  </si>
  <si>
    <t>Price</t>
  </si>
  <si>
    <t>Shares</t>
  </si>
  <si>
    <t>MC</t>
  </si>
  <si>
    <t>Cash</t>
  </si>
  <si>
    <t>Debt</t>
  </si>
  <si>
    <t>EV</t>
  </si>
  <si>
    <t>Founded</t>
  </si>
  <si>
    <t>Founder</t>
  </si>
  <si>
    <t>CEO</t>
  </si>
  <si>
    <t>HQ</t>
  </si>
  <si>
    <t>Industry</t>
  </si>
  <si>
    <t>Employees</t>
  </si>
  <si>
    <t>BRL</t>
  </si>
  <si>
    <t>Q4 2024</t>
  </si>
  <si>
    <t>EV USD</t>
  </si>
  <si>
    <t>Werner Ricardo Voigt, Eggon João da Silva, and Geraldo Werninghaus</t>
  </si>
  <si>
    <t>Santa Catarina, Brasil</t>
  </si>
  <si>
    <t>Eletric Motors, automation, power generation and energy transmission</t>
  </si>
  <si>
    <t>Alberto Yoshikazu Kuba</t>
  </si>
  <si>
    <t>Products</t>
  </si>
  <si>
    <t>Q1 2023</t>
  </si>
  <si>
    <t>Q2 2023</t>
  </si>
  <si>
    <t>Q3 2023</t>
  </si>
  <si>
    <t>Q4 2023</t>
  </si>
  <si>
    <t>Q1 2024</t>
  </si>
  <si>
    <t>Q2 2024</t>
  </si>
  <si>
    <t>Q3 2024</t>
  </si>
  <si>
    <t>Eletric Motors</t>
  </si>
  <si>
    <t>Automation</t>
  </si>
  <si>
    <t>Power Generation</t>
  </si>
  <si>
    <t>Energy Transmission and Distribution</t>
  </si>
  <si>
    <t>Industrial Coatings</t>
  </si>
  <si>
    <t>Competitors</t>
  </si>
  <si>
    <t>Siemens</t>
  </si>
  <si>
    <t>ABB</t>
  </si>
  <si>
    <t>(exiting EM market)</t>
  </si>
  <si>
    <t>Industrial Electro-Eletronic Equipment</t>
  </si>
  <si>
    <t>Energy Generation, Transmission and Distribution</t>
  </si>
  <si>
    <t>Commercial and Appliance Motors</t>
  </si>
  <si>
    <t>Paints and Varnishes</t>
  </si>
  <si>
    <t xml:space="preserve">Revenue </t>
  </si>
  <si>
    <t>External Market</t>
  </si>
  <si>
    <t>Brazilian Market</t>
  </si>
  <si>
    <t>Revenue y/y</t>
  </si>
  <si>
    <t>COGS</t>
  </si>
  <si>
    <t>Gross Profit</t>
  </si>
  <si>
    <t>Gross Margin</t>
  </si>
  <si>
    <t>Net Margin</t>
  </si>
  <si>
    <t>Sales</t>
  </si>
  <si>
    <t>Administrative</t>
  </si>
  <si>
    <t>Net Financials</t>
  </si>
  <si>
    <t>Other Income</t>
  </si>
  <si>
    <t>Equities</t>
  </si>
  <si>
    <t>EBT</t>
  </si>
  <si>
    <t>Taxes</t>
  </si>
  <si>
    <t>Net Income</t>
  </si>
  <si>
    <t>CFFO</t>
  </si>
  <si>
    <t>CAPEX</t>
  </si>
  <si>
    <t>FCF</t>
  </si>
  <si>
    <t>EV/FCF</t>
  </si>
  <si>
    <t>Net Cash</t>
  </si>
  <si>
    <t>Discount</t>
  </si>
  <si>
    <t>Maturity</t>
  </si>
  <si>
    <t>NPV</t>
  </si>
  <si>
    <t>ROIC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</si>
</sst>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_-[$R$-416]\ * #,##0.00_-;\-[$R$-416]\ * #,##0.00_-;_-[$R$-416]\ * &quot;-&quot;??_-;_-@_-"/>
    <numFmt numFmtId="167" formatCode="0.00\k"/>
    <numFmt numFmtId="172" formatCode="0.0%"/>
    <numFmt numFmtId="173" formatCode="0.0\x"/>
    <numFmt numFmtId="174" formatCode="[$R$-416]\ #,##0.00"/>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0" borderId="0" xfId="0" applyFont="1" applyAlignment="1">
      <alignment horizontal="left"/>
    </xf>
    <xf numFmtId="164" fontId="1" fillId="0" borderId="0" xfId="0" applyNumberFormat="1" applyFont="1"/>
    <xf numFmtId="3" fontId="1" fillId="0" borderId="0" xfId="0" applyNumberFormat="1" applyFont="1"/>
    <xf numFmtId="167" fontId="1" fillId="0" borderId="0" xfId="0" applyNumberFormat="1" applyFont="1" applyAlignment="1">
      <alignment horizontal="left"/>
    </xf>
    <xf numFmtId="8" fontId="1" fillId="0" borderId="0" xfId="0" applyNumberFormat="1" applyFont="1"/>
    <xf numFmtId="3" fontId="2" fillId="0" borderId="0" xfId="0" applyNumberFormat="1" applyFont="1"/>
    <xf numFmtId="9" fontId="1" fillId="0" borderId="0" xfId="0" applyNumberFormat="1" applyFont="1"/>
    <xf numFmtId="172" fontId="1" fillId="0" borderId="0" xfId="0" applyNumberFormat="1" applyFont="1"/>
    <xf numFmtId="172" fontId="2" fillId="0" borderId="0" xfId="0" applyNumberFormat="1" applyFont="1"/>
    <xf numFmtId="173" fontId="1" fillId="0" borderId="0" xfId="0" applyNumberFormat="1" applyFont="1"/>
    <xf numFmtId="17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601980</xdr:colOff>
      <xdr:row>0</xdr:row>
      <xdr:rowOff>30480</xdr:rowOff>
    </xdr:from>
    <xdr:to>
      <xdr:col>15</xdr:col>
      <xdr:colOff>7620</xdr:colOff>
      <xdr:row>44</xdr:row>
      <xdr:rowOff>45720</xdr:rowOff>
    </xdr:to>
    <xdr:cxnSp macro="">
      <xdr:nvCxnSpPr>
        <xdr:cNvPr id="3" name="Straight Connector 2">
          <a:extLst>
            <a:ext uri="{FF2B5EF4-FFF2-40B4-BE49-F238E27FC236}">
              <a16:creationId xmlns:a16="http://schemas.microsoft.com/office/drawing/2014/main" id="{B38DE1AB-24CD-2A34-C596-5955E1D8D08A}"/>
            </a:ext>
          </a:extLst>
        </xdr:cNvPr>
        <xdr:cNvCxnSpPr/>
      </xdr:nvCxnSpPr>
      <xdr:spPr>
        <a:xfrm>
          <a:off x="10904220" y="30480"/>
          <a:ext cx="15240" cy="73914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https://www.bing.com/financeapi/forcetrigger?t=apnlim&amp;q=BVMF%3aWEGE3&amp;form=skydnc</v>
    <v>Learn more on Bing</v>
  </rv>
  <rv s="1">
    <v>en-US</v>
    <v>apnlim</v>
    <v>268435456</v>
    <v>1</v>
    <v>Powered by Refinitiv</v>
    <v>0</v>
    <v>WEG SA (BVMF:WEGE3)</v>
    <v>2</v>
    <v>3</v>
    <v>Finance</v>
    <v>4</v>
    <v>59.37</v>
    <v>36.270000000000003</v>
    <v>0.59860000000000002</v>
    <v>0.49</v>
    <v>1.0283E-2</v>
    <v>BRL</v>
    <v>WEG SA is a Brazil-based holding company principally engaged in the manufacturing of electrical equipment and components. The Company is active, along with its subsidiaries, in the manufacture and marketing of goods, such as electric motors, generators and transformers; reducers, geared reducers, frequency inverters, starter motors and maneuver devices; control and protection of electric circuits and industrial automation; electric traction solutions (land and sea); solutions for the generation of renewable and distributed energy, exploring all opportunities in small hydroelectric plants and thermal biomass, wind and solar energy sources; no-breaks and alternators for groups of generators; electric substations; industrial electrical and electronic equipment systems, and industrial paint &amp; varnish. It is active in Brazil, Argentina, Mexico, the United States, Portugal, Austria, South Africa, India, and China. It operates through Bluffton Motor Works LLC.</v>
    <v>47529</v>
    <v>B3 - Brazil Stock Exchange</v>
    <v>BVMF</v>
    <v>BVMF</v>
    <v>Av. Prefeito Waldemar Grubba,3300, Vila Lalau, JARAGUA DO SUL, SANTA CATARINA, 89.256-900 BR</v>
    <v>48.2</v>
    <v>Machinery, Equipment &amp; Components</v>
    <v>Stock</v>
    <v>45735.838592094529</v>
    <v>0</v>
    <v>47.71</v>
    <v>199544700000</v>
    <v>WEG SA</v>
    <v>WEG SA</v>
    <v>47.71</v>
    <v>47.65</v>
    <v>48.14</v>
    <v>4197318000</v>
    <v>WEGE3</v>
    <v>WEG SA (BVMF:WEGE3)</v>
    <v>5307600</v>
    <v>7602950</v>
    <v>1961</v>
  </rv>
  <rv s="2">
    <v>1</v>
  </rv>
  <rv s="3">
    <v>en-US</v>
    <v>avylgh</v>
    <v>268435456</v>
    <v>1</v>
    <v>Powered by Refinitiv</v>
    <v>5</v>
    <v>USD/BRL</v>
    <v>6</v>
    <v>7</v>
    <v>Finance</v>
    <v>8</v>
    <v>6.3139000000000003</v>
    <v>4.95</v>
    <v>-2.3400000000000001E-2</v>
    <v>-4.1270000000000005E-3</v>
    <v>BRL</v>
    <v>USD</v>
    <v>5.6904000000000003</v>
    <v>Currency Pair</v>
    <v>45735.855439814812</v>
    <v>5.6325000000000003</v>
    <v>US Dollar/Brazilian Real FX Spot Rate</v>
    <v>5.6707999999999998</v>
    <v>5.6704999999999997</v>
    <v>5.6471</v>
    <v>USDBRL</v>
    <v>USD/BRL</v>
  </rv>
  <rv s="2">
    <v>3</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9">
    <spb s="0">
      <v>0</v>
      <v>Name</v>
      <v>LearnMoreOnLink</v>
    </spb>
    <spb s="1">
      <v>0</v>
      <v>0</v>
      <v>0</v>
    </spb>
    <spb s="2">
      <v>1</v>
      <v>1</v>
      <v>1</v>
      <v>1</v>
    </spb>
    <spb s="3">
      <v>1</v>
      <v>2</v>
      <v>1</v>
      <v>3</v>
      <v>1</v>
      <v>1</v>
      <v>1</v>
      <v>4</v>
      <v>4</v>
      <v>5</v>
      <v>6</v>
      <v>1</v>
      <v>1</v>
      <v>1</v>
      <v>4</v>
      <v>7</v>
      <v>8</v>
      <v>9</v>
      <v>4</v>
    </spb>
    <spb s="4">
      <v>Delayed 30 minutes</v>
      <v>from previous close</v>
      <v>from previous close</v>
      <v>GMT</v>
    </spb>
    <spb s="5">
      <v>1</v>
      <v>Name</v>
    </spb>
    <spb s="6">
      <v>1</v>
      <v>1</v>
    </spb>
    <spb s="7">
      <v>1</v>
      <v>1</v>
      <v>3</v>
      <v>1</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79CA1-80DD-456C-8C13-2D3759073E6E}">
  <dimension ref="B2:M20"/>
  <sheetViews>
    <sheetView topLeftCell="E1" workbookViewId="0">
      <selection activeCell="K13" sqref="K13"/>
    </sheetView>
  </sheetViews>
  <sheetFormatPr defaultRowHeight="13.2" x14ac:dyDescent="0.25"/>
  <cols>
    <col min="1" max="1" width="8.88671875" style="1"/>
    <col min="2" max="2" width="10.77734375" style="1" bestFit="1" customWidth="1"/>
    <col min="3" max="3" width="9.33203125" style="1" bestFit="1" customWidth="1"/>
    <col min="4" max="7" width="8.88671875" style="1"/>
    <col min="8" max="8" width="12.88671875" style="1" bestFit="1" customWidth="1"/>
    <col min="9" max="10" width="8.88671875" style="1"/>
    <col min="11" max="11" width="22.5546875" style="1" bestFit="1" customWidth="1"/>
    <col min="12" max="16384" width="8.88671875" style="1"/>
  </cols>
  <sheetData>
    <row r="2" spans="2:13" x14ac:dyDescent="0.25">
      <c r="B2" s="2" t="s">
        <v>7</v>
      </c>
      <c r="C2" s="3">
        <v>1961</v>
      </c>
      <c r="J2" s="1" t="s">
        <v>0</v>
      </c>
      <c r="K2" s="1" t="e" vm="1">
        <v>#VALUE!</v>
      </c>
    </row>
    <row r="3" spans="2:13" x14ac:dyDescent="0.25">
      <c r="B3" s="2" t="s">
        <v>8</v>
      </c>
      <c r="C3" s="3" t="s">
        <v>16</v>
      </c>
      <c r="J3" s="1" t="s">
        <v>1</v>
      </c>
      <c r="K3" s="4" cm="1">
        <f t="array" aca="1" ref="K3" ca="1">+_FV(K2,"Price")</f>
        <v>48.14</v>
      </c>
    </row>
    <row r="4" spans="2:13" x14ac:dyDescent="0.25">
      <c r="B4" s="2" t="s">
        <v>9</v>
      </c>
      <c r="C4" s="3" t="s">
        <v>19</v>
      </c>
      <c r="J4" s="1" t="s">
        <v>2</v>
      </c>
      <c r="K4" s="1">
        <v>4195.4874030000001</v>
      </c>
    </row>
    <row r="5" spans="2:13" x14ac:dyDescent="0.25">
      <c r="B5" s="2" t="s">
        <v>10</v>
      </c>
      <c r="C5" s="3" t="s">
        <v>17</v>
      </c>
      <c r="J5" s="1" t="s">
        <v>3</v>
      </c>
      <c r="K5" s="5">
        <f ca="1">+K3*K4</f>
        <v>201970.76358042</v>
      </c>
    </row>
    <row r="6" spans="2:13" x14ac:dyDescent="0.25">
      <c r="B6" s="2" t="s">
        <v>11</v>
      </c>
      <c r="C6" s="3" t="s">
        <v>18</v>
      </c>
      <c r="J6" s="1" t="s">
        <v>4</v>
      </c>
      <c r="K6" s="5">
        <v>8013.21</v>
      </c>
      <c r="L6" s="1" t="s">
        <v>13</v>
      </c>
      <c r="M6" s="1" t="s">
        <v>14</v>
      </c>
    </row>
    <row r="7" spans="2:13" x14ac:dyDescent="0.25">
      <c r="B7" s="2" t="s">
        <v>12</v>
      </c>
      <c r="C7" s="6">
        <v>47.529000000000003</v>
      </c>
      <c r="J7" s="1" t="s">
        <v>5</v>
      </c>
      <c r="K7" s="5">
        <v>3595.2370000000001</v>
      </c>
      <c r="L7" s="1" t="s">
        <v>13</v>
      </c>
      <c r="M7" s="1" t="s">
        <v>14</v>
      </c>
    </row>
    <row r="8" spans="2:13" x14ac:dyDescent="0.25">
      <c r="J8" s="1" t="s">
        <v>6</v>
      </c>
      <c r="K8" s="5">
        <f ca="1">+K5-K6+K7</f>
        <v>197552.79058042</v>
      </c>
    </row>
    <row r="9" spans="2:13" x14ac:dyDescent="0.25">
      <c r="B9" s="1" t="e" vm="2">
        <v>#VALUE!</v>
      </c>
      <c r="C9" s="4" cm="1">
        <f t="array" aca="1" ref="C9" ca="1">+_FV(B9,"Price")</f>
        <v>5.6471</v>
      </c>
      <c r="J9" s="1" t="s">
        <v>15</v>
      </c>
      <c r="K9" s="7">
        <f ca="1">+K8/C9</f>
        <v>34983.051580531603</v>
      </c>
    </row>
    <row r="11" spans="2:13" x14ac:dyDescent="0.25">
      <c r="B11" s="2" t="s">
        <v>20</v>
      </c>
    </row>
    <row r="12" spans="2:13" x14ac:dyDescent="0.25">
      <c r="C12" s="1" t="s">
        <v>28</v>
      </c>
      <c r="J12" s="1" t="s">
        <v>60</v>
      </c>
      <c r="K12" s="12">
        <f ca="1">+K8/model!O35</f>
        <v>36.570664351282971</v>
      </c>
    </row>
    <row r="13" spans="2:13" x14ac:dyDescent="0.25">
      <c r="C13" s="1" t="s">
        <v>29</v>
      </c>
    </row>
    <row r="14" spans="2:13" x14ac:dyDescent="0.25">
      <c r="C14" s="1" t="s">
        <v>30</v>
      </c>
    </row>
    <row r="15" spans="2:13" x14ac:dyDescent="0.25">
      <c r="C15" s="1" t="s">
        <v>31</v>
      </c>
    </row>
    <row r="16" spans="2:13" x14ac:dyDescent="0.25">
      <c r="C16" s="1" t="s">
        <v>32</v>
      </c>
    </row>
    <row r="18" spans="2:4" x14ac:dyDescent="0.25">
      <c r="B18" s="1" t="s">
        <v>33</v>
      </c>
    </row>
    <row r="19" spans="2:4" x14ac:dyDescent="0.25">
      <c r="C19" s="1" t="s">
        <v>34</v>
      </c>
      <c r="D19" s="1" t="s">
        <v>36</v>
      </c>
    </row>
    <row r="20" spans="2:4" x14ac:dyDescent="0.25">
      <c r="C20"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A131-D4A0-4C70-AB22-E46037291A33}">
  <dimension ref="A2:BJ40"/>
  <sheetViews>
    <sheetView tabSelected="1" workbookViewId="0">
      <pane xSplit="2" ySplit="2" topLeftCell="F4" activePane="bottomRight" state="frozen"/>
      <selection pane="topRight" activeCell="C1" sqref="C1"/>
      <selection pane="bottomLeft" activeCell="A3" sqref="A3"/>
      <selection pane="bottomRight" activeCell="V2" sqref="V2"/>
    </sheetView>
  </sheetViews>
  <sheetFormatPr defaultRowHeight="13.2" x14ac:dyDescent="0.25"/>
  <cols>
    <col min="1" max="1" width="2.33203125" style="1" customWidth="1"/>
    <col min="2" max="2" width="42.21875" style="1" bestFit="1" customWidth="1"/>
    <col min="3" max="3" width="7.88671875" style="1" bestFit="1" customWidth="1"/>
    <col min="4" max="23" width="8.88671875" style="1"/>
    <col min="24" max="24" width="11.77734375" style="1" bestFit="1" customWidth="1"/>
    <col min="25" max="16384" width="8.88671875" style="1"/>
  </cols>
  <sheetData>
    <row r="2" spans="1:24" x14ac:dyDescent="0.25">
      <c r="C2" s="1" t="s">
        <v>21</v>
      </c>
      <c r="D2" s="1" t="s">
        <v>22</v>
      </c>
      <c r="E2" s="1" t="s">
        <v>23</v>
      </c>
      <c r="F2" s="1" t="s">
        <v>24</v>
      </c>
      <c r="G2" s="1" t="s">
        <v>25</v>
      </c>
      <c r="H2" s="1" t="s">
        <v>26</v>
      </c>
      <c r="I2" s="1" t="s">
        <v>27</v>
      </c>
      <c r="J2" s="1" t="s">
        <v>14</v>
      </c>
      <c r="L2" s="1">
        <v>2021</v>
      </c>
      <c r="M2" s="1">
        <f>+L2+1</f>
        <v>2022</v>
      </c>
      <c r="N2" s="1">
        <f t="shared" ref="N2:U2" si="0">+M2+1</f>
        <v>2023</v>
      </c>
      <c r="O2" s="1">
        <f t="shared" si="0"/>
        <v>2024</v>
      </c>
      <c r="P2" s="1">
        <f t="shared" si="0"/>
        <v>2025</v>
      </c>
      <c r="Q2" s="1">
        <f t="shared" si="0"/>
        <v>2026</v>
      </c>
      <c r="R2" s="1">
        <f t="shared" si="0"/>
        <v>2027</v>
      </c>
      <c r="S2" s="1">
        <f t="shared" si="0"/>
        <v>2028</v>
      </c>
      <c r="T2" s="1">
        <f t="shared" si="0"/>
        <v>2029</v>
      </c>
      <c r="U2" s="1">
        <f t="shared" si="0"/>
        <v>2030</v>
      </c>
    </row>
    <row r="3" spans="1:24" x14ac:dyDescent="0.25">
      <c r="B3" s="1" t="s">
        <v>42</v>
      </c>
      <c r="L3" s="5"/>
      <c r="M3" s="5"/>
      <c r="N3" s="5"/>
      <c r="O3" s="5"/>
      <c r="P3" s="5"/>
      <c r="Q3" s="5"/>
      <c r="R3" s="5"/>
      <c r="S3" s="5"/>
      <c r="T3" s="5"/>
      <c r="U3" s="5"/>
      <c r="W3" s="1" t="s">
        <v>62</v>
      </c>
      <c r="X3" s="9">
        <v>0.1</v>
      </c>
    </row>
    <row r="4" spans="1:24" x14ac:dyDescent="0.25">
      <c r="B4" s="1" t="s">
        <v>43</v>
      </c>
      <c r="L4" s="5"/>
      <c r="M4" s="5"/>
      <c r="N4" s="5"/>
      <c r="O4" s="5"/>
      <c r="P4" s="5"/>
      <c r="Q4" s="5"/>
      <c r="R4" s="5"/>
      <c r="S4" s="5"/>
      <c r="T4" s="5"/>
      <c r="U4" s="5"/>
      <c r="W4" s="1" t="s">
        <v>63</v>
      </c>
      <c r="X4" s="9">
        <v>0.03</v>
      </c>
    </row>
    <row r="5" spans="1:24" x14ac:dyDescent="0.25">
      <c r="L5" s="5"/>
      <c r="M5" s="5"/>
      <c r="N5" s="5"/>
      <c r="O5" s="5"/>
      <c r="P5" s="5"/>
      <c r="Q5" s="5"/>
      <c r="R5" s="5"/>
      <c r="S5" s="5"/>
      <c r="T5" s="5"/>
      <c r="U5" s="5"/>
      <c r="W5" s="1" t="s">
        <v>65</v>
      </c>
      <c r="X5" s="9">
        <v>0.1</v>
      </c>
    </row>
    <row r="6" spans="1:24" x14ac:dyDescent="0.25">
      <c r="B6" s="1" t="s">
        <v>37</v>
      </c>
      <c r="C6" s="5">
        <f>1206.553+2541.095</f>
        <v>3747.6480000000001</v>
      </c>
      <c r="D6" s="5">
        <f>1278.125+2488.297</f>
        <v>3766.422</v>
      </c>
      <c r="E6" s="5">
        <f>1353.146+2466.847</f>
        <v>3819.9930000000004</v>
      </c>
      <c r="F6" s="5">
        <f>1356.039+2571.859</f>
        <v>3927.8980000000001</v>
      </c>
      <c r="G6" s="5">
        <f>1293.094+2324.371</f>
        <v>3617.4650000000001</v>
      </c>
      <c r="H6" s="5">
        <f>1397.143+2976.068</f>
        <v>4373.2110000000002</v>
      </c>
      <c r="I6" s="5">
        <f>1406.412+3457.376</f>
        <v>4863.7880000000005</v>
      </c>
      <c r="J6" s="5">
        <f>1549.459+3513.694</f>
        <v>5063.1530000000002</v>
      </c>
      <c r="L6" s="5"/>
      <c r="M6" s="5"/>
      <c r="N6" s="5">
        <f>+SUM(C6:F6)</f>
        <v>15261.960999999999</v>
      </c>
      <c r="O6" s="5">
        <f>+SUM(G6:J6)</f>
        <v>17917.616999999998</v>
      </c>
      <c r="P6" s="5">
        <f>+O6*1.1</f>
        <v>19709.378700000001</v>
      </c>
      <c r="Q6" s="5">
        <f t="shared" ref="Q6:U6" si="1">+P6*1.1</f>
        <v>21680.316570000003</v>
      </c>
      <c r="R6" s="5">
        <f t="shared" si="1"/>
        <v>23848.348227000006</v>
      </c>
      <c r="S6" s="5">
        <f t="shared" si="1"/>
        <v>26233.183049700008</v>
      </c>
      <c r="T6" s="5">
        <f t="shared" si="1"/>
        <v>28856.50135467001</v>
      </c>
      <c r="U6" s="5">
        <f t="shared" si="1"/>
        <v>31742.151490137014</v>
      </c>
      <c r="W6" s="1" t="s">
        <v>64</v>
      </c>
      <c r="X6" s="7">
        <f>+NPV(X3,P20:BJ20)+main!K6-main!K7</f>
        <v>234688.84727789625</v>
      </c>
    </row>
    <row r="7" spans="1:24" x14ac:dyDescent="0.25">
      <c r="B7" s="1" t="s">
        <v>38</v>
      </c>
      <c r="C7" s="5">
        <f>1948.118+1014.932</f>
        <v>2963.05</v>
      </c>
      <c r="D7" s="5">
        <f>1926.788+1499.495</f>
        <v>3426.2829999999999</v>
      </c>
      <c r="E7" s="5">
        <f>1907.63+1317.581</f>
        <v>3225.2110000000002</v>
      </c>
      <c r="F7" s="5">
        <f>2093.998+1469.082</f>
        <v>3563.08</v>
      </c>
      <c r="G7" s="5">
        <f>2022.146+1434.92</f>
        <v>3457.0659999999998</v>
      </c>
      <c r="H7" s="5">
        <f>2107.869+1735.295</f>
        <v>3843.1640000000002</v>
      </c>
      <c r="I7" s="5">
        <f>1794.11+2041.544</f>
        <v>3835.654</v>
      </c>
      <c r="J7" s="5">
        <f>2182.048+2434.455</f>
        <v>4616.5029999999997</v>
      </c>
      <c r="L7" s="5"/>
      <c r="M7" s="5"/>
      <c r="N7" s="5">
        <f t="shared" ref="N7:N11" si="2">+SUM(C7:F7)</f>
        <v>13177.624000000002</v>
      </c>
      <c r="O7" s="5">
        <f t="shared" ref="O7:O11" si="3">+SUM(G7:J7)</f>
        <v>15752.386999999999</v>
      </c>
      <c r="P7" s="5">
        <f>+O7*1.15</f>
        <v>18115.245049999998</v>
      </c>
      <c r="Q7" s="5">
        <f t="shared" ref="Q7:R7" si="4">+P7*1.15</f>
        <v>20832.531807499996</v>
      </c>
      <c r="R7" s="5">
        <f t="shared" si="4"/>
        <v>23957.411578624993</v>
      </c>
      <c r="S7" s="5">
        <f>+R7*1.12</f>
        <v>26832.300968059993</v>
      </c>
      <c r="T7" s="5">
        <f t="shared" ref="T7:U7" si="5">+S7*1.12</f>
        <v>30052.177084227194</v>
      </c>
      <c r="U7" s="5">
        <f t="shared" si="5"/>
        <v>33658.43833433446</v>
      </c>
      <c r="W7" s="1" t="s">
        <v>1</v>
      </c>
      <c r="X7" s="13">
        <f>+X6/main!K4</f>
        <v>55.938398744823083</v>
      </c>
    </row>
    <row r="8" spans="1:24" x14ac:dyDescent="0.25">
      <c r="B8" s="1" t="s">
        <v>39</v>
      </c>
      <c r="C8" s="5">
        <f>218.917+426.498</f>
        <v>645.41499999999996</v>
      </c>
      <c r="D8" s="5">
        <f>251.007+377.367</f>
        <v>628.37400000000002</v>
      </c>
      <c r="E8" s="5">
        <f>273.933+393.589</f>
        <v>667.52199999999993</v>
      </c>
      <c r="F8" s="5">
        <f>328.634+360.361</f>
        <v>688.995</v>
      </c>
      <c r="G8" s="5">
        <f>293.707+322.621</f>
        <v>616.32799999999997</v>
      </c>
      <c r="H8" s="5">
        <f>329.449+367.695</f>
        <v>697.14400000000001</v>
      </c>
      <c r="I8" s="5">
        <f>353.317+400.631</f>
        <v>753.94799999999998</v>
      </c>
      <c r="J8" s="5">
        <f>362.043+357.68</f>
        <v>719.72299999999996</v>
      </c>
      <c r="L8" s="5"/>
      <c r="M8" s="5"/>
      <c r="N8" s="5">
        <f t="shared" si="2"/>
        <v>2630.306</v>
      </c>
      <c r="O8" s="5">
        <f t="shared" si="3"/>
        <v>2787.143</v>
      </c>
      <c r="P8" s="5">
        <f>+O8*1.06</f>
        <v>2954.37158</v>
      </c>
      <c r="Q8" s="5">
        <f t="shared" ref="Q8:U8" si="6">+P8*1.06</f>
        <v>3131.6338748000003</v>
      </c>
      <c r="R8" s="5">
        <f t="shared" si="6"/>
        <v>3319.5319072880006</v>
      </c>
      <c r="S8" s="5">
        <f t="shared" si="6"/>
        <v>3518.7038217252807</v>
      </c>
      <c r="T8" s="5">
        <f t="shared" si="6"/>
        <v>3729.8260510287978</v>
      </c>
      <c r="U8" s="5">
        <f t="shared" si="6"/>
        <v>3953.6156140905259</v>
      </c>
    </row>
    <row r="9" spans="1:24" x14ac:dyDescent="0.25">
      <c r="B9" s="1" t="s">
        <v>40</v>
      </c>
      <c r="C9" s="5">
        <f>284.637+55.407</f>
        <v>340.04399999999998</v>
      </c>
      <c r="D9" s="5">
        <f>288.436+61.807</f>
        <v>350.24299999999999</v>
      </c>
      <c r="E9" s="5">
        <f>291.977+70.135</f>
        <v>362.11199999999997</v>
      </c>
      <c r="F9" s="5">
        <f>304.134+77.178</f>
        <v>381.31200000000001</v>
      </c>
      <c r="G9" s="5">
        <f>285.5+56.944</f>
        <v>342.44400000000002</v>
      </c>
      <c r="H9" s="5">
        <f>298.977+61.931</f>
        <v>360.90799999999996</v>
      </c>
      <c r="I9" s="5">
        <f>329.691+73.855</f>
        <v>403.54599999999999</v>
      </c>
      <c r="J9" s="5">
        <f>335.668+87.228</f>
        <v>422.89600000000002</v>
      </c>
      <c r="L9" s="5"/>
      <c r="M9" s="5"/>
      <c r="N9" s="5">
        <f t="shared" si="2"/>
        <v>1433.7109999999998</v>
      </c>
      <c r="O9" s="5">
        <f t="shared" si="3"/>
        <v>1529.7939999999999</v>
      </c>
      <c r="P9" s="5">
        <f>+O9*1.06</f>
        <v>1621.5816399999999</v>
      </c>
      <c r="Q9" s="5">
        <f t="shared" ref="Q9:U9" si="7">+P9*1.06</f>
        <v>1718.8765383999998</v>
      </c>
      <c r="R9" s="5">
        <f t="shared" si="7"/>
        <v>1822.009130704</v>
      </c>
      <c r="S9" s="5">
        <f t="shared" si="7"/>
        <v>1931.3296785462401</v>
      </c>
      <c r="T9" s="5">
        <f t="shared" si="7"/>
        <v>2047.2094592590147</v>
      </c>
      <c r="U9" s="5">
        <f t="shared" si="7"/>
        <v>2170.0420268145558</v>
      </c>
    </row>
    <row r="10" spans="1:24" s="2" customFormat="1" x14ac:dyDescent="0.25">
      <c r="A10" s="1"/>
      <c r="B10" s="2" t="s">
        <v>41</v>
      </c>
      <c r="C10" s="8">
        <f t="shared" ref="C10:I10" si="8">+SUM(C6:C9)</f>
        <v>7696.1570000000002</v>
      </c>
      <c r="D10" s="8">
        <f t="shared" si="8"/>
        <v>8171.3220000000001</v>
      </c>
      <c r="E10" s="8">
        <f t="shared" si="8"/>
        <v>8074.8380000000006</v>
      </c>
      <c r="F10" s="8">
        <f t="shared" si="8"/>
        <v>8561.2849999999999</v>
      </c>
      <c r="G10" s="8">
        <f t="shared" si="8"/>
        <v>8033.3030000000008</v>
      </c>
      <c r="H10" s="8">
        <f t="shared" si="8"/>
        <v>9274.4269999999997</v>
      </c>
      <c r="I10" s="8">
        <f t="shared" si="8"/>
        <v>9856.9360000000015</v>
      </c>
      <c r="J10" s="8">
        <f>+SUM(J6:J9)</f>
        <v>10822.275</v>
      </c>
      <c r="L10" s="8">
        <v>23563.338</v>
      </c>
      <c r="M10" s="8">
        <v>29904.722000000002</v>
      </c>
      <c r="N10" s="8">
        <f t="shared" ref="N10:O10" si="9">+SUM(N6:N9)</f>
        <v>32503.601999999999</v>
      </c>
      <c r="O10" s="8">
        <f t="shared" si="9"/>
        <v>37986.940999999999</v>
      </c>
      <c r="P10" s="8">
        <f>+SUM(P6:P9)</f>
        <v>42400.576969999995</v>
      </c>
      <c r="Q10" s="8">
        <f t="shared" ref="Q10:U10" si="10">+SUM(Q6:Q9)</f>
        <v>47363.358790699996</v>
      </c>
      <c r="R10" s="8">
        <f t="shared" si="10"/>
        <v>52947.300843616998</v>
      </c>
      <c r="S10" s="8">
        <f t="shared" si="10"/>
        <v>58515.517518031513</v>
      </c>
      <c r="T10" s="8">
        <f t="shared" si="10"/>
        <v>64685.71394918501</v>
      </c>
      <c r="U10" s="8">
        <f t="shared" si="10"/>
        <v>71524.247465376553</v>
      </c>
    </row>
    <row r="11" spans="1:24" x14ac:dyDescent="0.25">
      <c r="B11" s="1" t="s">
        <v>45</v>
      </c>
      <c r="C11" s="5">
        <v>5149.0940000000001</v>
      </c>
      <c r="D11" s="5">
        <v>5416.7780000000002</v>
      </c>
      <c r="E11" s="5">
        <v>5461.0110000000004</v>
      </c>
      <c r="F11" s="5">
        <v>5675.8540000000003</v>
      </c>
      <c r="G11" s="5">
        <v>5362.6</v>
      </c>
      <c r="H11" s="5">
        <v>6148.2309999999998</v>
      </c>
      <c r="I11" s="5">
        <v>6458.2160000000003</v>
      </c>
      <c r="J11" s="5">
        <v>7204.049</v>
      </c>
      <c r="L11" s="5">
        <v>16602.381000000001</v>
      </c>
      <c r="M11" s="5">
        <v>21209.264999999999</v>
      </c>
      <c r="N11" s="5">
        <f t="shared" si="2"/>
        <v>21702.737000000001</v>
      </c>
      <c r="O11" s="5">
        <f t="shared" si="3"/>
        <v>25173.095999999998</v>
      </c>
      <c r="P11" s="5">
        <f>+P10*0.66</f>
        <v>27984.380800199997</v>
      </c>
      <c r="Q11" s="5">
        <f>+Q10*0.65</f>
        <v>30786.183213954999</v>
      </c>
      <c r="R11" s="5">
        <f t="shared" ref="R11" si="11">+R10*0.65</f>
        <v>34415.745548351049</v>
      </c>
      <c r="S11" s="5">
        <f>+S10*0.64</f>
        <v>37449.93121154017</v>
      </c>
      <c r="T11" s="5">
        <f t="shared" ref="T11:U11" si="12">+T10*0.64</f>
        <v>41398.856927478409</v>
      </c>
      <c r="U11" s="5">
        <f t="shared" si="12"/>
        <v>45775.518377840992</v>
      </c>
    </row>
    <row r="12" spans="1:24" x14ac:dyDescent="0.25">
      <c r="B12" s="1" t="s">
        <v>46</v>
      </c>
      <c r="C12" s="5">
        <f t="shared" ref="C12:I12" si="13">+C10-C11</f>
        <v>2547.0630000000001</v>
      </c>
      <c r="D12" s="5">
        <f t="shared" si="13"/>
        <v>2754.5439999999999</v>
      </c>
      <c r="E12" s="5">
        <f t="shared" si="13"/>
        <v>2613.8270000000002</v>
      </c>
      <c r="F12" s="5">
        <f t="shared" si="13"/>
        <v>2885.4309999999996</v>
      </c>
      <c r="G12" s="5">
        <f t="shared" si="13"/>
        <v>2670.7030000000004</v>
      </c>
      <c r="H12" s="5">
        <f t="shared" si="13"/>
        <v>3126.1959999999999</v>
      </c>
      <c r="I12" s="5">
        <f t="shared" si="13"/>
        <v>3398.7200000000012</v>
      </c>
      <c r="J12" s="5">
        <f>+J10-J11</f>
        <v>3618.2259999999997</v>
      </c>
      <c r="L12" s="5">
        <f t="shared" ref="L12:O12" si="14">+L10-L11</f>
        <v>6960.9569999999985</v>
      </c>
      <c r="M12" s="5">
        <f t="shared" si="14"/>
        <v>8695.4570000000022</v>
      </c>
      <c r="N12" s="5">
        <f t="shared" si="14"/>
        <v>10800.864999999998</v>
      </c>
      <c r="O12" s="5">
        <f>+O10-O11</f>
        <v>12813.845000000001</v>
      </c>
      <c r="P12" s="5">
        <f t="shared" ref="P12" si="15">+P10-P11</f>
        <v>14416.196169799998</v>
      </c>
      <c r="Q12" s="5">
        <f t="shared" ref="Q12" si="16">+Q10-Q11</f>
        <v>16577.175576744998</v>
      </c>
      <c r="R12" s="5">
        <f t="shared" ref="R12" si="17">+R10-R11</f>
        <v>18531.555295265949</v>
      </c>
      <c r="S12" s="5">
        <f t="shared" ref="S12" si="18">+S10-S11</f>
        <v>21065.586306491343</v>
      </c>
      <c r="T12" s="5">
        <f t="shared" ref="T12" si="19">+T10-T11</f>
        <v>23286.857021706601</v>
      </c>
      <c r="U12" s="5">
        <f t="shared" ref="U12" si="20">+U10-U11</f>
        <v>25748.729087535561</v>
      </c>
    </row>
    <row r="13" spans="1:24" x14ac:dyDescent="0.25">
      <c r="B13" s="1" t="s">
        <v>49</v>
      </c>
      <c r="C13" s="5">
        <v>568.13300000000004</v>
      </c>
      <c r="D13" s="5">
        <v>606.88599999999997</v>
      </c>
      <c r="E13" s="5">
        <v>597.98800000000006</v>
      </c>
      <c r="F13" s="5">
        <v>653.452</v>
      </c>
      <c r="G13" s="5">
        <v>624.18399999999997</v>
      </c>
      <c r="H13" s="5">
        <v>702.80499999999995</v>
      </c>
      <c r="I13" s="5">
        <v>776.31500000000005</v>
      </c>
      <c r="J13" s="5">
        <v>884.00300000000004</v>
      </c>
      <c r="L13" s="5">
        <v>1833.204</v>
      </c>
      <c r="M13" s="5">
        <v>2164.8200000000002</v>
      </c>
      <c r="N13" s="5">
        <v>2426.4589999999998</v>
      </c>
      <c r="O13" s="5">
        <v>2987.3069999999998</v>
      </c>
      <c r="P13" s="5">
        <f t="shared" ref="P13:Q13" si="21">+P10*0.07</f>
        <v>2968.0403879</v>
      </c>
      <c r="Q13" s="5">
        <f>+Q10*0.07</f>
        <v>3315.4351153490002</v>
      </c>
      <c r="R13" s="5">
        <f>+R10*0.06</f>
        <v>3176.8380506170197</v>
      </c>
      <c r="S13" s="5">
        <f t="shared" ref="S13:U13" si="22">+S10*0.06</f>
        <v>3510.9310510818905</v>
      </c>
      <c r="T13" s="5">
        <f t="shared" si="22"/>
        <v>3881.1428369511004</v>
      </c>
      <c r="U13" s="5">
        <f t="shared" si="22"/>
        <v>4291.4548479225932</v>
      </c>
    </row>
    <row r="14" spans="1:24" x14ac:dyDescent="0.25">
      <c r="B14" s="1" t="s">
        <v>50</v>
      </c>
      <c r="C14" s="5">
        <v>258.62200000000001</v>
      </c>
      <c r="D14" s="5">
        <v>246.66800000000001</v>
      </c>
      <c r="E14" s="5">
        <v>262.16399999999999</v>
      </c>
      <c r="F14" s="5">
        <v>277.43400000000003</v>
      </c>
      <c r="G14" s="5">
        <v>259.97000000000003</v>
      </c>
      <c r="H14" s="5">
        <v>308.24799999999999</v>
      </c>
      <c r="I14" s="5">
        <v>355.93</v>
      </c>
      <c r="J14" s="5">
        <v>375.27300000000002</v>
      </c>
      <c r="L14" s="5">
        <v>776.00699999999995</v>
      </c>
      <c r="M14" s="5">
        <v>872.93499999999995</v>
      </c>
      <c r="N14" s="5">
        <v>1044.8879999999999</v>
      </c>
      <c r="O14" s="5">
        <v>1299.421</v>
      </c>
      <c r="P14" s="5">
        <f>+O14*1.05</f>
        <v>1364.3920500000002</v>
      </c>
      <c r="Q14" s="5">
        <f t="shared" ref="Q14:U14" si="23">+P14*1.05</f>
        <v>1432.6116525000002</v>
      </c>
      <c r="R14" s="5">
        <f t="shared" si="23"/>
        <v>1504.2422351250002</v>
      </c>
      <c r="S14" s="5">
        <f t="shared" si="23"/>
        <v>1579.4543468812503</v>
      </c>
      <c r="T14" s="5">
        <f t="shared" si="23"/>
        <v>1658.427064225313</v>
      </c>
      <c r="U14" s="5">
        <f t="shared" si="23"/>
        <v>1741.3484174365788</v>
      </c>
    </row>
    <row r="15" spans="1:24" x14ac:dyDescent="0.25">
      <c r="B15" s="1" t="s">
        <v>51</v>
      </c>
      <c r="C15" s="5">
        <f>388.642-320.134</f>
        <v>68.507999999999981</v>
      </c>
      <c r="D15" s="5">
        <f>448.591-412.709</f>
        <v>35.882000000000005</v>
      </c>
      <c r="E15" s="5">
        <f>297.429-264.009</f>
        <v>33.419999999999959</v>
      </c>
      <c r="F15" s="5">
        <f>418.987-428.125</f>
        <v>-9.1379999999999768</v>
      </c>
      <c r="G15" s="5">
        <f>324.627-252.175</f>
        <v>72.451999999999998</v>
      </c>
      <c r="H15" s="5">
        <f>524.936-499.655</f>
        <v>25.281000000000063</v>
      </c>
      <c r="I15" s="5">
        <f>538.244-473.796</f>
        <v>64.448000000000036</v>
      </c>
      <c r="J15" s="5">
        <f>554.311-498.512</f>
        <v>55.799000000000035</v>
      </c>
      <c r="L15" s="5">
        <f>992.739-821.046</f>
        <v>171.69299999999998</v>
      </c>
      <c r="M15" s="5">
        <f>1105.994-1041.939</f>
        <v>64.054999999999836</v>
      </c>
      <c r="N15" s="5">
        <f>1553.649-1424.977</f>
        <v>128.6719999999998</v>
      </c>
      <c r="O15" s="5">
        <f>1942.118-1724.138</f>
        <v>217.98000000000002</v>
      </c>
      <c r="P15" s="5">
        <f>+O15*1.06</f>
        <v>231.05880000000002</v>
      </c>
      <c r="Q15" s="5">
        <f>+P15*1.1</f>
        <v>254.16468000000003</v>
      </c>
      <c r="R15" s="5">
        <f t="shared" ref="R15:U15" si="24">+Q15*1.1</f>
        <v>279.58114800000004</v>
      </c>
      <c r="S15" s="5">
        <f t="shared" si="24"/>
        <v>307.53926280000007</v>
      </c>
      <c r="T15" s="5">
        <f t="shared" si="24"/>
        <v>338.2931890800001</v>
      </c>
      <c r="U15" s="5">
        <f t="shared" si="24"/>
        <v>372.12250798800017</v>
      </c>
    </row>
    <row r="16" spans="1:24" x14ac:dyDescent="0.25">
      <c r="B16" s="1" t="s">
        <v>52</v>
      </c>
      <c r="C16" s="5">
        <f>54.812-236.927</f>
        <v>-182.11500000000001</v>
      </c>
      <c r="D16" s="5">
        <f>15.591-235.308</f>
        <v>-219.71699999999998</v>
      </c>
      <c r="E16" s="5">
        <f>43.217-215.722</f>
        <v>-172.505</v>
      </c>
      <c r="F16" s="5">
        <f>41.846-335.014</f>
        <v>-293.16800000000001</v>
      </c>
      <c r="G16" s="5">
        <f>16.934-200.21</f>
        <v>-183.27600000000001</v>
      </c>
      <c r="H16" s="5">
        <f>35.284-217.863</f>
        <v>-182.57900000000001</v>
      </c>
      <c r="I16" s="5">
        <f>16.175-272.974</f>
        <v>-256.79899999999998</v>
      </c>
      <c r="J16" s="5">
        <f>92.399-304.136</f>
        <v>-211.73700000000002</v>
      </c>
      <c r="L16" s="5">
        <f>422.154-615.557</f>
        <v>-193.40300000000002</v>
      </c>
      <c r="M16" s="5">
        <f>147.36-753.523</f>
        <v>-606.16300000000001</v>
      </c>
      <c r="N16" s="5">
        <f>155.466-1022.971</f>
        <v>-867.505</v>
      </c>
      <c r="O16" s="5">
        <f>163.792-995.183</f>
        <v>-831.39099999999996</v>
      </c>
      <c r="P16" s="5">
        <v>0</v>
      </c>
      <c r="Q16" s="5">
        <v>0</v>
      </c>
      <c r="R16" s="5">
        <v>0</v>
      </c>
      <c r="S16" s="5">
        <v>0</v>
      </c>
      <c r="T16" s="5">
        <v>0</v>
      </c>
      <c r="U16" s="5">
        <v>0</v>
      </c>
    </row>
    <row r="17" spans="2:62" x14ac:dyDescent="0.25">
      <c r="B17" s="1" t="s">
        <v>53</v>
      </c>
      <c r="C17" s="5">
        <v>0</v>
      </c>
      <c r="D17" s="5">
        <v>0</v>
      </c>
      <c r="E17" s="5">
        <v>0</v>
      </c>
      <c r="F17" s="5">
        <v>0.113</v>
      </c>
      <c r="G17" s="5">
        <v>7.2999999999999995E-2</v>
      </c>
      <c r="H17" s="5">
        <v>-1.2729999999999999</v>
      </c>
      <c r="I17" s="5">
        <v>0.16600000000000001</v>
      </c>
      <c r="J17" s="5">
        <v>-4.1639999999999997</v>
      </c>
      <c r="L17" s="5">
        <v>0</v>
      </c>
      <c r="M17" s="5">
        <v>0</v>
      </c>
      <c r="N17" s="5">
        <v>0.13300000000000001</v>
      </c>
      <c r="O17" s="5">
        <v>-5.1980000000000004</v>
      </c>
      <c r="P17" s="5">
        <f>+O40*$X$5</f>
        <v>441.79730000000001</v>
      </c>
      <c r="Q17" s="5">
        <f t="shared" ref="Q17:U17" si="25">+P40*$X$5</f>
        <v>1302.3268865519999</v>
      </c>
      <c r="R17" s="5">
        <f t="shared" si="25"/>
        <v>2373.1765165878396</v>
      </c>
      <c r="S17" s="5">
        <f t="shared" si="25"/>
        <v>3693.4351305167811</v>
      </c>
      <c r="T17" s="5">
        <f t="shared" si="25"/>
        <v>5291.5291546643803</v>
      </c>
      <c r="U17" s="5">
        <f t="shared" si="25"/>
        <v>7161.6979118063455</v>
      </c>
    </row>
    <row r="18" spans="2:62" x14ac:dyDescent="0.25">
      <c r="B18" s="1" t="s">
        <v>54</v>
      </c>
      <c r="C18" s="5">
        <f t="shared" ref="C18:I18" si="26">+C12-C13-C14+C15+C16+C17</f>
        <v>1606.701</v>
      </c>
      <c r="D18" s="5">
        <f t="shared" si="26"/>
        <v>1717.1549999999997</v>
      </c>
      <c r="E18" s="5">
        <f t="shared" si="26"/>
        <v>1614.5900000000001</v>
      </c>
      <c r="F18" s="5">
        <f t="shared" si="26"/>
        <v>1652.3519999999996</v>
      </c>
      <c r="G18" s="5">
        <f t="shared" si="26"/>
        <v>1675.7980000000005</v>
      </c>
      <c r="H18" s="5">
        <f t="shared" si="26"/>
        <v>1956.5720000000001</v>
      </c>
      <c r="I18" s="5">
        <f t="shared" si="26"/>
        <v>2074.2900000000013</v>
      </c>
      <c r="J18" s="5">
        <f>+J12-J13-J14+J15+J16+J17</f>
        <v>2198.847999999999</v>
      </c>
      <c r="L18" s="5">
        <f t="shared" ref="L18:O18" si="27">+L12-L13-L14+L15+L16+L17</f>
        <v>4330.0359999999991</v>
      </c>
      <c r="M18" s="5">
        <f t="shared" si="27"/>
        <v>5115.5940000000028</v>
      </c>
      <c r="N18" s="5">
        <f t="shared" si="27"/>
        <v>6590.8179999999984</v>
      </c>
      <c r="O18" s="5">
        <f t="shared" si="27"/>
        <v>7908.5079999999998</v>
      </c>
      <c r="P18" s="5">
        <f t="shared" ref="P18" si="28">+P12-P13-P14+P15+P16+P17</f>
        <v>10756.619831899998</v>
      </c>
      <c r="Q18" s="5">
        <f t="shared" ref="Q18" si="29">+Q12-Q13-Q14+Q15+Q16+Q17</f>
        <v>13385.620375447998</v>
      </c>
      <c r="R18" s="5">
        <f t="shared" ref="R18" si="30">+R12-R13-R14+R15+R16+R17</f>
        <v>16503.232674111769</v>
      </c>
      <c r="S18" s="5">
        <f t="shared" ref="S18" si="31">+S12-S13-S14+S15+S16+S17</f>
        <v>19976.175301844985</v>
      </c>
      <c r="T18" s="5">
        <f t="shared" ref="T18" si="32">+T12-T13-T14+T15+T16+T17</f>
        <v>23377.109464274567</v>
      </c>
      <c r="U18" s="5">
        <f t="shared" ref="U18" si="33">+U12-U13-U14+U15+U16+U17</f>
        <v>27249.746241970734</v>
      </c>
    </row>
    <row r="19" spans="2:62" x14ac:dyDescent="0.25">
      <c r="B19" s="1" t="s">
        <v>55</v>
      </c>
      <c r="C19" s="5">
        <f>254.699+28.061+17.288</f>
        <v>300.048</v>
      </c>
      <c r="D19" s="5">
        <f>358.711-51.343+41.387</f>
        <v>348.755</v>
      </c>
      <c r="E19" s="5">
        <f>262.087+6.61+34.204</f>
        <v>302.90100000000001</v>
      </c>
      <c r="F19" s="5">
        <f>252.44-388.083+43.066</f>
        <v>-92.577000000000027</v>
      </c>
      <c r="G19" s="5">
        <f>344.34-45.795+49.29</f>
        <v>347.83499999999998</v>
      </c>
      <c r="H19" s="5">
        <f>421.756+22.752+70.408</f>
        <v>514.91599999999994</v>
      </c>
      <c r="I19" s="5">
        <f>450.54-33.769+81.84</f>
        <v>498.61099999999999</v>
      </c>
      <c r="J19" s="5">
        <f>395.018+34.903+74.632</f>
        <v>504.553</v>
      </c>
      <c r="L19" s="5">
        <f>693.854-21.298+71.533</f>
        <v>744.08900000000006</v>
      </c>
      <c r="M19" s="5">
        <f>885.055-42.285+64.788</f>
        <v>907.55799999999999</v>
      </c>
      <c r="N19" s="5">
        <f>1127.937-404.755+135.945</f>
        <v>859.12699999999995</v>
      </c>
      <c r="O19" s="5">
        <f>1611.654-21.909+276.17</f>
        <v>1865.915</v>
      </c>
      <c r="P19" s="5">
        <f>+P18*0.2</f>
        <v>2151.3239663799995</v>
      </c>
      <c r="Q19" s="5">
        <f t="shared" ref="Q19:U19" si="34">+Q18*0.2</f>
        <v>2677.1240750895995</v>
      </c>
      <c r="R19" s="5">
        <f t="shared" si="34"/>
        <v>3300.6465348223537</v>
      </c>
      <c r="S19" s="5">
        <f t="shared" si="34"/>
        <v>3995.2350603689974</v>
      </c>
      <c r="T19" s="5">
        <f t="shared" si="34"/>
        <v>4675.4218928549135</v>
      </c>
      <c r="U19" s="5">
        <f t="shared" si="34"/>
        <v>5449.9492483941467</v>
      </c>
    </row>
    <row r="20" spans="2:62" x14ac:dyDescent="0.25">
      <c r="B20" s="1" t="s">
        <v>56</v>
      </c>
      <c r="C20" s="5">
        <f t="shared" ref="C20:I20" si="35">+C18-C19</f>
        <v>1306.653</v>
      </c>
      <c r="D20" s="5">
        <f t="shared" si="35"/>
        <v>1368.3999999999996</v>
      </c>
      <c r="E20" s="5">
        <f t="shared" si="35"/>
        <v>1311.6890000000001</v>
      </c>
      <c r="F20" s="5">
        <f t="shared" si="35"/>
        <v>1744.9289999999996</v>
      </c>
      <c r="G20" s="5">
        <f t="shared" si="35"/>
        <v>1327.9630000000004</v>
      </c>
      <c r="H20" s="5">
        <f t="shared" si="35"/>
        <v>1441.6560000000002</v>
      </c>
      <c r="I20" s="5">
        <f t="shared" si="35"/>
        <v>1575.6790000000015</v>
      </c>
      <c r="J20" s="5">
        <f>+J18-J19</f>
        <v>1694.2949999999992</v>
      </c>
      <c r="L20" s="5">
        <f t="shared" ref="L20:O20" si="36">+L18-L19</f>
        <v>3585.9469999999992</v>
      </c>
      <c r="M20" s="5">
        <f t="shared" si="36"/>
        <v>4208.0360000000028</v>
      </c>
      <c r="N20" s="5">
        <f t="shared" si="36"/>
        <v>5731.6909999999989</v>
      </c>
      <c r="O20" s="5">
        <f t="shared" si="36"/>
        <v>6042.5929999999998</v>
      </c>
      <c r="P20" s="5">
        <f t="shared" ref="P20" si="37">+P18-P19</f>
        <v>8605.2958655199982</v>
      </c>
      <c r="Q20" s="5">
        <f t="shared" ref="Q20" si="38">+Q18-Q19</f>
        <v>10708.496300358398</v>
      </c>
      <c r="R20" s="5">
        <f t="shared" ref="R20" si="39">+R18-R19</f>
        <v>13202.586139289415</v>
      </c>
      <c r="S20" s="5">
        <f t="shared" ref="S20" si="40">+S18-S19</f>
        <v>15980.940241475988</v>
      </c>
      <c r="T20" s="5">
        <f t="shared" ref="T20" si="41">+T18-T19</f>
        <v>18701.687571419654</v>
      </c>
      <c r="U20" s="5">
        <f t="shared" ref="U20" si="42">+U18-U19</f>
        <v>21799.796993576587</v>
      </c>
      <c r="V20" s="5">
        <f>+U20*(1+$X$4)</f>
        <v>22453.790903383884</v>
      </c>
      <c r="W20" s="5">
        <f t="shared" ref="W20:BJ20" si="43">+V20*(1+$X$4)</f>
        <v>23127.404630485402</v>
      </c>
      <c r="X20" s="5">
        <f t="shared" si="43"/>
        <v>23821.226769399964</v>
      </c>
      <c r="Y20" s="5">
        <f t="shared" si="43"/>
        <v>24535.863572481965</v>
      </c>
      <c r="Z20" s="5">
        <f t="shared" si="43"/>
        <v>25271.939479656423</v>
      </c>
      <c r="AA20" s="5">
        <f t="shared" si="43"/>
        <v>26030.097664046116</v>
      </c>
      <c r="AB20" s="5">
        <f t="shared" si="43"/>
        <v>26811.000593967499</v>
      </c>
      <c r="AC20" s="5">
        <f t="shared" si="43"/>
        <v>27615.330611786525</v>
      </c>
      <c r="AD20" s="5">
        <f t="shared" si="43"/>
        <v>28443.790530140122</v>
      </c>
      <c r="AE20" s="5">
        <f t="shared" si="43"/>
        <v>29297.104246044328</v>
      </c>
      <c r="AF20" s="5">
        <f t="shared" si="43"/>
        <v>30176.017373425657</v>
      </c>
      <c r="AG20" s="5">
        <f t="shared" si="43"/>
        <v>31081.297894628427</v>
      </c>
      <c r="AH20" s="5">
        <f t="shared" si="43"/>
        <v>32013.736831467282</v>
      </c>
      <c r="AI20" s="5">
        <f t="shared" si="43"/>
        <v>32974.1489364113</v>
      </c>
      <c r="AJ20" s="5">
        <f t="shared" si="43"/>
        <v>33963.37340450364</v>
      </c>
      <c r="AK20" s="5">
        <f t="shared" si="43"/>
        <v>34982.274606638748</v>
      </c>
      <c r="AL20" s="5">
        <f t="shared" si="43"/>
        <v>36031.742844837914</v>
      </c>
      <c r="AM20" s="5">
        <f t="shared" si="43"/>
        <v>37112.695130183056</v>
      </c>
      <c r="AN20" s="5">
        <f t="shared" si="43"/>
        <v>38226.075984088551</v>
      </c>
      <c r="AO20" s="5">
        <f t="shared" si="43"/>
        <v>39372.858263611211</v>
      </c>
      <c r="AP20" s="5">
        <f t="shared" si="43"/>
        <v>40554.044011519552</v>
      </c>
      <c r="AQ20" s="5">
        <f t="shared" si="43"/>
        <v>41770.665331865137</v>
      </c>
      <c r="AR20" s="5">
        <f t="shared" si="43"/>
        <v>43023.785291821092</v>
      </c>
      <c r="AS20" s="5">
        <f t="shared" si="43"/>
        <v>44314.498850575728</v>
      </c>
      <c r="AT20" s="5">
        <f t="shared" si="43"/>
        <v>45643.933816092998</v>
      </c>
      <c r="AU20" s="5">
        <f t="shared" si="43"/>
        <v>47013.251830575791</v>
      </c>
      <c r="AV20" s="5">
        <f t="shared" si="43"/>
        <v>48423.649385493067</v>
      </c>
      <c r="AW20" s="5">
        <f t="shared" si="43"/>
        <v>49876.358867057861</v>
      </c>
      <c r="AX20" s="5">
        <f t="shared" si="43"/>
        <v>51372.649633069595</v>
      </c>
      <c r="AY20" s="5">
        <f t="shared" si="43"/>
        <v>52913.829122061681</v>
      </c>
      <c r="AZ20" s="5">
        <f t="shared" si="43"/>
        <v>54501.243995723533</v>
      </c>
      <c r="BA20" s="5">
        <f t="shared" si="43"/>
        <v>56136.281315595239</v>
      </c>
      <c r="BB20" s="5">
        <f t="shared" si="43"/>
        <v>57820.369755063097</v>
      </c>
      <c r="BC20" s="5">
        <f t="shared" si="43"/>
        <v>59554.980847714993</v>
      </c>
      <c r="BD20" s="5">
        <f t="shared" si="43"/>
        <v>61341.630273146446</v>
      </c>
      <c r="BE20" s="5">
        <f t="shared" si="43"/>
        <v>63181.879181340839</v>
      </c>
      <c r="BF20" s="5">
        <f t="shared" si="43"/>
        <v>65077.335556781065</v>
      </c>
      <c r="BG20" s="5">
        <f t="shared" si="43"/>
        <v>67029.655623484505</v>
      </c>
      <c r="BH20" s="5">
        <f t="shared" si="43"/>
        <v>69040.545292189039</v>
      </c>
      <c r="BI20" s="5">
        <f t="shared" si="43"/>
        <v>71111.761650954708</v>
      </c>
      <c r="BJ20" s="5">
        <f t="shared" si="43"/>
        <v>73245.114500483352</v>
      </c>
    </row>
    <row r="21" spans="2:62" x14ac:dyDescent="0.25">
      <c r="C21" s="5"/>
      <c r="D21" s="5"/>
      <c r="E21" s="5"/>
      <c r="F21" s="5"/>
      <c r="G21" s="5"/>
      <c r="H21" s="5"/>
      <c r="I21" s="5"/>
      <c r="J21" s="5"/>
    </row>
    <row r="24" spans="2:62" x14ac:dyDescent="0.25">
      <c r="B24" s="1" t="s">
        <v>37</v>
      </c>
      <c r="G24" s="10">
        <f t="shared" ref="G24:J24" si="44">+G6/F6-1</f>
        <v>-7.9032856759518655E-2</v>
      </c>
      <c r="H24" s="10">
        <f t="shared" si="44"/>
        <v>0.20891591210972327</v>
      </c>
      <c r="I24" s="10">
        <f t="shared" si="44"/>
        <v>0.11217775680158137</v>
      </c>
      <c r="J24" s="10">
        <f t="shared" ref="I24:J27" si="45">+J6/I6-1</f>
        <v>4.0989656621546855E-2</v>
      </c>
      <c r="O24" s="10">
        <f t="shared" ref="O24:U27" si="46">+O6/N6-1</f>
        <v>0.17400490015667058</v>
      </c>
      <c r="P24" s="10">
        <f t="shared" si="46"/>
        <v>0.10000000000000009</v>
      </c>
      <c r="Q24" s="10">
        <f t="shared" si="46"/>
        <v>0.10000000000000009</v>
      </c>
      <c r="R24" s="10">
        <f t="shared" si="46"/>
        <v>0.10000000000000009</v>
      </c>
      <c r="S24" s="10">
        <f t="shared" si="46"/>
        <v>0.10000000000000009</v>
      </c>
      <c r="T24" s="10">
        <f t="shared" si="46"/>
        <v>0.10000000000000009</v>
      </c>
      <c r="U24" s="10">
        <f t="shared" si="46"/>
        <v>0.10000000000000009</v>
      </c>
    </row>
    <row r="25" spans="2:62" x14ac:dyDescent="0.25">
      <c r="B25" s="1" t="s">
        <v>38</v>
      </c>
      <c r="G25" s="10">
        <f t="shared" ref="G25:J25" si="47">+G7/F7-1</f>
        <v>-2.9753471715482149E-2</v>
      </c>
      <c r="H25" s="10">
        <f t="shared" si="47"/>
        <v>0.11168372255548498</v>
      </c>
      <c r="I25" s="10">
        <f t="shared" si="47"/>
        <v>-1.9541190539879016E-3</v>
      </c>
      <c r="J25" s="10">
        <f t="shared" si="45"/>
        <v>0.20357649569017422</v>
      </c>
      <c r="O25" s="10">
        <f t="shared" si="46"/>
        <v>0.19538901701854572</v>
      </c>
      <c r="P25" s="10">
        <f t="shared" si="46"/>
        <v>0.14999999999999991</v>
      </c>
      <c r="Q25" s="10">
        <f t="shared" si="46"/>
        <v>0.14999999999999991</v>
      </c>
      <c r="R25" s="10">
        <f t="shared" si="46"/>
        <v>0.14999999999999991</v>
      </c>
      <c r="S25" s="10">
        <f t="shared" si="46"/>
        <v>0.12000000000000011</v>
      </c>
      <c r="T25" s="10">
        <f t="shared" si="46"/>
        <v>0.12000000000000011</v>
      </c>
      <c r="U25" s="10">
        <f t="shared" si="46"/>
        <v>0.12000000000000011</v>
      </c>
    </row>
    <row r="26" spans="2:62" x14ac:dyDescent="0.25">
      <c r="B26" s="1" t="s">
        <v>39</v>
      </c>
      <c r="G26" s="10">
        <f t="shared" ref="G26:J26" si="48">+G8/F8-1</f>
        <v>-0.10546810934767314</v>
      </c>
      <c r="H26" s="10">
        <f t="shared" si="48"/>
        <v>0.13112498539738593</v>
      </c>
      <c r="I26" s="10">
        <f t="shared" si="48"/>
        <v>8.1481013965550853E-2</v>
      </c>
      <c r="J26" s="10">
        <f t="shared" si="45"/>
        <v>-4.5394377331062663E-2</v>
      </c>
      <c r="O26" s="10">
        <f t="shared" si="46"/>
        <v>5.9626902725386399E-2</v>
      </c>
      <c r="P26" s="10">
        <f t="shared" si="46"/>
        <v>6.0000000000000053E-2</v>
      </c>
      <c r="Q26" s="10">
        <f t="shared" si="46"/>
        <v>6.0000000000000053E-2</v>
      </c>
      <c r="R26" s="10">
        <f t="shared" si="46"/>
        <v>6.0000000000000053E-2</v>
      </c>
      <c r="S26" s="10">
        <f t="shared" si="46"/>
        <v>6.0000000000000053E-2</v>
      </c>
      <c r="T26" s="10">
        <f t="shared" si="46"/>
        <v>6.0000000000000053E-2</v>
      </c>
      <c r="U26" s="10">
        <f t="shared" si="46"/>
        <v>6.0000000000000053E-2</v>
      </c>
    </row>
    <row r="27" spans="2:62" x14ac:dyDescent="0.25">
      <c r="B27" s="1" t="s">
        <v>40</v>
      </c>
      <c r="G27" s="10">
        <f t="shared" ref="G27:J27" si="49">+G9/F9-1</f>
        <v>-0.10193227593152066</v>
      </c>
      <c r="H27" s="10">
        <f t="shared" si="49"/>
        <v>5.3918304890726576E-2</v>
      </c>
      <c r="I27" s="10">
        <f t="shared" si="49"/>
        <v>0.11814091125716253</v>
      </c>
      <c r="J27" s="10">
        <f t="shared" si="45"/>
        <v>4.7949923924410109E-2</v>
      </c>
      <c r="O27" s="10">
        <f t="shared" si="46"/>
        <v>6.7016992964411992E-2</v>
      </c>
      <c r="P27" s="10">
        <f t="shared" si="46"/>
        <v>6.0000000000000053E-2</v>
      </c>
      <c r="Q27" s="10">
        <f t="shared" si="46"/>
        <v>6.0000000000000053E-2</v>
      </c>
      <c r="R27" s="10">
        <f t="shared" si="46"/>
        <v>6.0000000000000053E-2</v>
      </c>
      <c r="S27" s="10">
        <f t="shared" si="46"/>
        <v>6.0000000000000053E-2</v>
      </c>
      <c r="T27" s="10">
        <f t="shared" si="46"/>
        <v>6.0000000000000053E-2</v>
      </c>
      <c r="U27" s="10">
        <f t="shared" si="46"/>
        <v>6.0000000000000053E-2</v>
      </c>
    </row>
    <row r="28" spans="2:62" x14ac:dyDescent="0.25">
      <c r="B28" s="2" t="s">
        <v>44</v>
      </c>
      <c r="G28" s="11">
        <f t="shared" ref="G28:J28" si="50">+G10/F10-1</f>
        <v>-6.1670882350020939E-2</v>
      </c>
      <c r="H28" s="11">
        <f t="shared" si="50"/>
        <v>0.15449734685720173</v>
      </c>
      <c r="I28" s="11">
        <f t="shared" si="50"/>
        <v>6.2808085070916064E-2</v>
      </c>
      <c r="J28" s="11">
        <f>+J10/I10-1</f>
        <v>9.7934997244579547E-2</v>
      </c>
      <c r="M28" s="11">
        <f t="shared" ref="M28:O28" si="51">+M10/L10-1</f>
        <v>0.26912078416054652</v>
      </c>
      <c r="N28" s="11">
        <f t="shared" si="51"/>
        <v>8.6905338895977513E-2</v>
      </c>
      <c r="O28" s="11">
        <f>+O10/N10-1</f>
        <v>0.16869942598977183</v>
      </c>
      <c r="P28" s="11">
        <f t="shared" ref="P28:U28" si="52">+P10/O10-1</f>
        <v>0.11618824400732852</v>
      </c>
      <c r="Q28" s="11">
        <f t="shared" si="52"/>
        <v>0.11704514832926338</v>
      </c>
      <c r="R28" s="11">
        <f t="shared" si="52"/>
        <v>0.11789582064043636</v>
      </c>
      <c r="S28" s="11">
        <f t="shared" si="52"/>
        <v>0.10516526028136108</v>
      </c>
      <c r="T28" s="11">
        <f t="shared" si="52"/>
        <v>0.10544547314739483</v>
      </c>
      <c r="U28" s="11">
        <f t="shared" si="52"/>
        <v>0.10571937911303997</v>
      </c>
    </row>
    <row r="30" spans="2:62" x14ac:dyDescent="0.25">
      <c r="B30" s="1" t="s">
        <v>47</v>
      </c>
      <c r="C30" s="9">
        <f t="shared" ref="C30:D30" si="53">+C12/C10</f>
        <v>0.33095257802043282</v>
      </c>
      <c r="D30" s="9">
        <f t="shared" ref="D30:F30" si="54">+D12/D10</f>
        <v>0.3370989418848015</v>
      </c>
      <c r="E30" s="9">
        <f t="shared" si="54"/>
        <v>0.32370024017819304</v>
      </c>
      <c r="F30" s="9">
        <f t="shared" si="54"/>
        <v>0.33703246650473612</v>
      </c>
      <c r="G30" s="9">
        <f t="shared" ref="G30:J30" si="55">+G12/G10</f>
        <v>0.33245391092555582</v>
      </c>
      <c r="H30" s="9">
        <f t="shared" si="55"/>
        <v>0.33707699677834546</v>
      </c>
      <c r="I30" s="9">
        <f t="shared" si="55"/>
        <v>0.34480491706550603</v>
      </c>
      <c r="J30" s="9">
        <f t="shared" si="55"/>
        <v>0.33433136748049735</v>
      </c>
      <c r="L30" s="9">
        <f t="shared" ref="L30:N30" si="56">+L12/L10</f>
        <v>0.29541472434847721</v>
      </c>
      <c r="M30" s="9">
        <f t="shared" si="56"/>
        <v>0.290772039278613</v>
      </c>
      <c r="N30" s="9">
        <f t="shared" ref="N30:O30" si="57">+N12/N10</f>
        <v>0.33229747890710692</v>
      </c>
      <c r="O30" s="9">
        <f t="shared" si="57"/>
        <v>0.33732237086423994</v>
      </c>
      <c r="P30" s="9">
        <f t="shared" ref="P30:U30" si="58">+P12/P10</f>
        <v>0.33999999999999997</v>
      </c>
      <c r="Q30" s="9">
        <f t="shared" si="58"/>
        <v>0.35</v>
      </c>
      <c r="R30" s="9">
        <f t="shared" si="58"/>
        <v>0.35</v>
      </c>
      <c r="S30" s="9">
        <f t="shared" si="58"/>
        <v>0.36</v>
      </c>
      <c r="T30" s="9">
        <f t="shared" si="58"/>
        <v>0.35999999999999993</v>
      </c>
      <c r="U30" s="9">
        <f t="shared" si="58"/>
        <v>0.36000000000000004</v>
      </c>
    </row>
    <row r="31" spans="2:62" x14ac:dyDescent="0.25">
      <c r="B31" s="1" t="s">
        <v>48</v>
      </c>
      <c r="C31" s="9">
        <f t="shared" ref="C31:D31" si="59">+C20/C10</f>
        <v>0.16977993042501602</v>
      </c>
      <c r="D31" s="9">
        <f t="shared" ref="D31:F31" si="60">+D20/D10</f>
        <v>0.16746372251638103</v>
      </c>
      <c r="E31" s="9">
        <f t="shared" si="60"/>
        <v>0.1624415251426716</v>
      </c>
      <c r="F31" s="9">
        <f t="shared" si="60"/>
        <v>0.20381624954665095</v>
      </c>
      <c r="G31" s="9">
        <f t="shared" ref="G31:J31" si="61">+G20/G10</f>
        <v>0.16530722169946788</v>
      </c>
      <c r="H31" s="9">
        <f t="shared" si="61"/>
        <v>0.15544421234864431</v>
      </c>
      <c r="I31" s="9">
        <f t="shared" si="61"/>
        <v>0.15985484738868155</v>
      </c>
      <c r="J31" s="9">
        <f t="shared" si="61"/>
        <v>0.15655626936110931</v>
      </c>
      <c r="L31" s="9">
        <f t="shared" ref="L31:N31" si="62">+L20/L10</f>
        <v>0.15218331969774399</v>
      </c>
      <c r="M31" s="9">
        <f t="shared" si="62"/>
        <v>0.14071476738690306</v>
      </c>
      <c r="N31" s="9">
        <f t="shared" ref="N31:O31" si="63">+N20/N10</f>
        <v>0.17634017915922054</v>
      </c>
      <c r="O31" s="9">
        <f t="shared" si="63"/>
        <v>0.15907027101761104</v>
      </c>
      <c r="P31" s="9">
        <f t="shared" ref="P31:U31" si="64">+P20/P10</f>
        <v>0.20295232943666236</v>
      </c>
      <c r="Q31" s="9">
        <f t="shared" si="64"/>
        <v>0.22609241772061694</v>
      </c>
      <c r="R31" s="9">
        <f t="shared" si="64"/>
        <v>0.24935333678829141</v>
      </c>
      <c r="S31" s="9">
        <f t="shared" si="64"/>
        <v>0.27310602245893961</v>
      </c>
      <c r="T31" s="9">
        <f t="shared" si="64"/>
        <v>0.28911619629198326</v>
      </c>
      <c r="U31" s="9">
        <f t="shared" si="64"/>
        <v>0.30478890398853103</v>
      </c>
    </row>
    <row r="33" spans="2:21" x14ac:dyDescent="0.25">
      <c r="B33" s="1" t="s">
        <v>57</v>
      </c>
      <c r="L33" s="5">
        <v>1056.058</v>
      </c>
      <c r="M33" s="5">
        <v>2982.93</v>
      </c>
      <c r="N33" s="5">
        <v>7021.8230000000003</v>
      </c>
      <c r="O33" s="5">
        <v>7252.2690000000002</v>
      </c>
    </row>
    <row r="34" spans="2:21" x14ac:dyDescent="0.25">
      <c r="B34" s="1" t="s">
        <v>58</v>
      </c>
      <c r="L34" s="5">
        <f>780.849+66.495</f>
        <v>847.34400000000005</v>
      </c>
      <c r="M34" s="5">
        <f>1111.431+62.979</f>
        <v>1174.4100000000001</v>
      </c>
      <c r="N34" s="5">
        <f>1586.001+72.624</f>
        <v>1658.625</v>
      </c>
      <c r="O34" s="5">
        <f>1780.663+69.659</f>
        <v>1850.3220000000001</v>
      </c>
    </row>
    <row r="35" spans="2:21" x14ac:dyDescent="0.25">
      <c r="B35" s="2" t="s">
        <v>59</v>
      </c>
      <c r="C35" s="2"/>
      <c r="D35" s="2"/>
      <c r="E35" s="2"/>
      <c r="F35" s="2"/>
      <c r="G35" s="2"/>
      <c r="H35" s="2"/>
      <c r="I35" s="2"/>
      <c r="J35" s="2"/>
      <c r="K35" s="2"/>
      <c r="L35" s="8">
        <f t="shared" ref="L35" si="65">+L33-L34</f>
        <v>208.71399999999994</v>
      </c>
      <c r="M35" s="8">
        <f t="shared" ref="M35" si="66">+M33-M34</f>
        <v>1808.5199999999998</v>
      </c>
      <c r="N35" s="8">
        <f t="shared" ref="N35" si="67">+N33-N34</f>
        <v>5363.1980000000003</v>
      </c>
      <c r="O35" s="8">
        <f>+O33-O34</f>
        <v>5401.9470000000001</v>
      </c>
    </row>
    <row r="37" spans="2:21" x14ac:dyDescent="0.25">
      <c r="B37" s="1" t="s">
        <v>49</v>
      </c>
      <c r="C37" s="10">
        <f t="shared" ref="C37:J37" si="68">+C13/C$10</f>
        <v>7.3820349558877243E-2</v>
      </c>
      <c r="D37" s="10">
        <f t="shared" si="68"/>
        <v>7.4270234363546059E-2</v>
      </c>
      <c r="E37" s="10">
        <f t="shared" si="68"/>
        <v>7.4055727186105771E-2</v>
      </c>
      <c r="F37" s="10">
        <f t="shared" si="68"/>
        <v>7.6326392591766309E-2</v>
      </c>
      <c r="G37" s="10">
        <f t="shared" si="68"/>
        <v>7.7699546500362288E-2</v>
      </c>
      <c r="H37" s="10">
        <f t="shared" si="68"/>
        <v>7.5778805526206625E-2</v>
      </c>
      <c r="I37" s="10">
        <f t="shared" si="68"/>
        <v>7.8758246984661356E-2</v>
      </c>
      <c r="J37" s="10">
        <f t="shared" si="68"/>
        <v>8.1683657086887934E-2</v>
      </c>
      <c r="L37" s="10">
        <f t="shared" ref="L37:O37" si="69">+L13/L$10</f>
        <v>7.7798994353007203E-2</v>
      </c>
      <c r="M37" s="10">
        <f t="shared" si="69"/>
        <v>7.2390574304619856E-2</v>
      </c>
      <c r="N37" s="10">
        <f t="shared" si="69"/>
        <v>7.4652003184139407E-2</v>
      </c>
      <c r="O37" s="10">
        <f>+O13/O$10</f>
        <v>7.8640367488395549E-2</v>
      </c>
    </row>
    <row r="38" spans="2:21" x14ac:dyDescent="0.25">
      <c r="B38" s="1" t="s">
        <v>50</v>
      </c>
      <c r="C38" s="10">
        <f t="shared" ref="C38:J38" si="70">+C14/C$10</f>
        <v>3.360404420024176E-2</v>
      </c>
      <c r="D38" s="10">
        <f t="shared" si="70"/>
        <v>3.0187037054714035E-2</v>
      </c>
      <c r="E38" s="10">
        <f t="shared" si="70"/>
        <v>3.2466781376914305E-2</v>
      </c>
      <c r="F38" s="10">
        <f t="shared" si="70"/>
        <v>3.2405649385577051E-2</v>
      </c>
      <c r="G38" s="10">
        <f t="shared" si="70"/>
        <v>3.2361532983381805E-2</v>
      </c>
      <c r="H38" s="10">
        <f t="shared" si="70"/>
        <v>3.3236339021267838E-2</v>
      </c>
      <c r="I38" s="10">
        <f t="shared" si="70"/>
        <v>3.6109598357948143E-2</v>
      </c>
      <c r="J38" s="10">
        <f t="shared" si="70"/>
        <v>3.4675980789621412E-2</v>
      </c>
      <c r="L38" s="10">
        <f t="shared" ref="L38:O38" si="71">+L14/L$10</f>
        <v>3.2932812829829114E-2</v>
      </c>
      <c r="M38" s="10">
        <f t="shared" si="71"/>
        <v>2.9190540544065245E-2</v>
      </c>
      <c r="N38" s="10">
        <f>+N14/N$10</f>
        <v>3.2146837141311294E-2</v>
      </c>
      <c r="O38" s="10">
        <f t="shared" si="71"/>
        <v>3.4207044994752279E-2</v>
      </c>
    </row>
    <row r="40" spans="2:21" x14ac:dyDescent="0.25">
      <c r="B40" s="1" t="s">
        <v>61</v>
      </c>
      <c r="O40" s="5">
        <f>+main!K6-main!K7</f>
        <v>4417.973</v>
      </c>
      <c r="P40" s="5">
        <f>+O40+P20</f>
        <v>13023.268865519998</v>
      </c>
      <c r="Q40" s="5">
        <f t="shared" ref="Q40:U40" si="72">+P40+Q20</f>
        <v>23731.765165878394</v>
      </c>
      <c r="R40" s="5">
        <f t="shared" si="72"/>
        <v>36934.351305167809</v>
      </c>
      <c r="S40" s="5">
        <f t="shared" si="72"/>
        <v>52915.291546643799</v>
      </c>
      <c r="T40" s="5">
        <f t="shared" si="72"/>
        <v>71616.979118063449</v>
      </c>
      <c r="U40" s="5">
        <f t="shared" si="72"/>
        <v>93416.776111640036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2025-03-19T16:28:55Z</dcterms:created>
  <dcterms:modified xsi:type="dcterms:W3CDTF">2025-03-19T20:31:54Z</dcterms:modified>
</cp:coreProperties>
</file>