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Desktop/Models/"/>
    </mc:Choice>
  </mc:AlternateContent>
  <xr:revisionPtr revIDLastSave="1067" documentId="8_{CC56F0CF-751F-4EE4-B7E6-272946A1AD29}" xr6:coauthVersionLast="47" xr6:coauthVersionMax="47" xr10:uidLastSave="{55BB100D-F77E-4A80-AB91-AF1EADDF546E}"/>
  <bookViews>
    <workbookView xWindow="3855" yWindow="3855" windowWidth="21600" windowHeight="11295" activeTab="1" xr2:uid="{AB5DE452-4E44-4119-8896-AD506673EF96}"/>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 l="1" a="1"/>
  <c r="B2" i="1" s="1"/>
  <c r="B4" i="1" s="1"/>
  <c r="B7" i="1" s="1"/>
  <c r="Y8" i="2"/>
  <c r="P65" i="2"/>
  <c r="L63" i="2"/>
  <c r="L59" i="2"/>
  <c r="L61" i="2" s="1"/>
  <c r="O56" i="2"/>
  <c r="N56" i="2"/>
  <c r="M56" i="2"/>
  <c r="L56" i="2"/>
  <c r="K56" i="2"/>
  <c r="L22" i="2"/>
  <c r="L21" i="2"/>
  <c r="L20" i="2"/>
  <c r="M26" i="2"/>
  <c r="M25" i="2"/>
  <c r="M24" i="2"/>
  <c r="L26" i="2"/>
  <c r="L25" i="2"/>
  <c r="L24" i="2"/>
  <c r="AA2" i="2"/>
  <c r="AB2" i="2" s="1"/>
  <c r="AC2" i="2" s="1"/>
  <c r="AD2" i="2" s="1"/>
  <c r="AE2" i="2" s="1"/>
  <c r="Z2" i="2"/>
  <c r="Z18" i="2" s="1"/>
  <c r="Q2" i="2"/>
  <c r="P63" i="2"/>
  <c r="P59" i="2"/>
  <c r="P61" i="2" s="1"/>
  <c r="P56" i="2"/>
  <c r="P46" i="2"/>
  <c r="P28" i="2"/>
  <c r="P26" i="2"/>
  <c r="P25" i="2"/>
  <c r="P24" i="2"/>
  <c r="P22" i="2"/>
  <c r="P21" i="2"/>
  <c r="P20" i="2"/>
  <c r="P18" i="2"/>
  <c r="P8" i="2"/>
  <c r="P4" i="2"/>
  <c r="P9" i="2" s="1"/>
  <c r="P12" i="2" s="1"/>
  <c r="P14" i="2" s="1"/>
  <c r="P16" i="2" s="1"/>
  <c r="B5" i="1"/>
  <c r="P91" i="2"/>
  <c r="P89" i="2"/>
  <c r="P81" i="2"/>
  <c r="P68" i="2"/>
  <c r="Z6" i="2"/>
  <c r="AA6" i="2" s="1"/>
  <c r="L18" i="2"/>
  <c r="K18" i="2"/>
  <c r="AE22" i="2"/>
  <c r="AD22" i="2"/>
  <c r="AC22" i="2"/>
  <c r="AB22" i="2"/>
  <c r="AA22" i="2"/>
  <c r="Z22" i="2"/>
  <c r="AH6" i="2"/>
  <c r="Z11" i="2"/>
  <c r="AA7" i="2"/>
  <c r="AB7" i="2" s="1"/>
  <c r="AC7" i="2" s="1"/>
  <c r="AD7" i="2" s="1"/>
  <c r="AE7" i="2" s="1"/>
  <c r="Z7" i="2"/>
  <c r="V59" i="2"/>
  <c r="U59" i="2"/>
  <c r="V52" i="2"/>
  <c r="V56" i="2" s="1"/>
  <c r="V38" i="2"/>
  <c r="W22" i="2"/>
  <c r="V22" i="2"/>
  <c r="W21" i="2"/>
  <c r="V21" i="2"/>
  <c r="W20" i="2"/>
  <c r="V20" i="2"/>
  <c r="W18" i="2"/>
  <c r="V18" i="2"/>
  <c r="J4" i="2"/>
  <c r="J24" i="2" s="1"/>
  <c r="M54" i="2"/>
  <c r="M53" i="2"/>
  <c r="M52" i="2"/>
  <c r="M51" i="2"/>
  <c r="M50" i="2"/>
  <c r="M49" i="2"/>
  <c r="M48" i="2"/>
  <c r="I45" i="2"/>
  <c r="I44" i="2"/>
  <c r="I43" i="2"/>
  <c r="I42" i="2"/>
  <c r="I41" i="2"/>
  <c r="I40" i="2"/>
  <c r="I39" i="2"/>
  <c r="I38" i="2"/>
  <c r="I37" i="2"/>
  <c r="I36" i="2"/>
  <c r="I35" i="2"/>
  <c r="I34" i="2"/>
  <c r="I33" i="2"/>
  <c r="I32" i="2"/>
  <c r="I31" i="2"/>
  <c r="I30" i="2"/>
  <c r="I29" i="2"/>
  <c r="M45" i="2"/>
  <c r="M44" i="2"/>
  <c r="M43" i="2"/>
  <c r="M42" i="2"/>
  <c r="M41" i="2"/>
  <c r="M40" i="2"/>
  <c r="M39" i="2"/>
  <c r="M38" i="2"/>
  <c r="M37" i="2"/>
  <c r="M36" i="2"/>
  <c r="M35" i="2"/>
  <c r="M34" i="2"/>
  <c r="M33" i="2"/>
  <c r="M32" i="2"/>
  <c r="M31" i="2"/>
  <c r="M30" i="2"/>
  <c r="M29" i="2"/>
  <c r="M22" i="2"/>
  <c r="M21" i="2"/>
  <c r="M20" i="2"/>
  <c r="O20" i="2"/>
  <c r="M18" i="2"/>
  <c r="O18" i="2"/>
  <c r="M12" i="2"/>
  <c r="M8" i="2"/>
  <c r="O9" i="2"/>
  <c r="O8" i="2"/>
  <c r="N8" i="2"/>
  <c r="N9" i="2" s="1"/>
  <c r="M9" i="2"/>
  <c r="L8" i="2"/>
  <c r="N4" i="2"/>
  <c r="N24" i="2" s="1"/>
  <c r="M4" i="2"/>
  <c r="L4" i="2"/>
  <c r="X65" i="2"/>
  <c r="W65" i="2"/>
  <c r="Y61" i="2"/>
  <c r="X61" i="2"/>
  <c r="W61" i="2"/>
  <c r="Y59" i="2"/>
  <c r="X59" i="2"/>
  <c r="W59" i="2"/>
  <c r="U56" i="2"/>
  <c r="AE56" i="2"/>
  <c r="AD56" i="2"/>
  <c r="AC56" i="2"/>
  <c r="AB56" i="2"/>
  <c r="AA56" i="2"/>
  <c r="Z56" i="2"/>
  <c r="Y56" i="2"/>
  <c r="X56" i="2"/>
  <c r="W56" i="2"/>
  <c r="Y22" i="2"/>
  <c r="X22" i="2"/>
  <c r="Y21" i="2"/>
  <c r="X21" i="2"/>
  <c r="X20" i="2"/>
  <c r="Y20" i="2"/>
  <c r="X18" i="2"/>
  <c r="Y18" i="2"/>
  <c r="AE89" i="2"/>
  <c r="AE91" i="2" s="1"/>
  <c r="AD89" i="2"/>
  <c r="AD91" i="2" s="1"/>
  <c r="AC89" i="2"/>
  <c r="AC91" i="2" s="1"/>
  <c r="AB89" i="2"/>
  <c r="AB91" i="2" s="1"/>
  <c r="AA89" i="2"/>
  <c r="AA91" i="2" s="1"/>
  <c r="Z89" i="2"/>
  <c r="Z91" i="2" s="1"/>
  <c r="Y89" i="2"/>
  <c r="Y91" i="2" s="1"/>
  <c r="X89" i="2"/>
  <c r="X91" i="2" s="1"/>
  <c r="W89" i="2"/>
  <c r="W91" i="2" s="1"/>
  <c r="V89" i="2"/>
  <c r="V91" i="2" s="1"/>
  <c r="U89" i="2"/>
  <c r="U91" i="2" s="1"/>
  <c r="AE81" i="2"/>
  <c r="AD81" i="2"/>
  <c r="AC81" i="2"/>
  <c r="AB81" i="2"/>
  <c r="AA81" i="2"/>
  <c r="Z81" i="2"/>
  <c r="Y81" i="2"/>
  <c r="X81" i="2"/>
  <c r="W81" i="2"/>
  <c r="V81" i="2"/>
  <c r="U81" i="2"/>
  <c r="Y68" i="2"/>
  <c r="X68" i="2"/>
  <c r="W68" i="2"/>
  <c r="V68" i="2"/>
  <c r="U68" i="2"/>
  <c r="X8" i="2"/>
  <c r="W8" i="2"/>
  <c r="V8" i="2"/>
  <c r="U8" i="2"/>
  <c r="Y4" i="2"/>
  <c r="Y24" i="2" s="1"/>
  <c r="X4" i="2"/>
  <c r="X24" i="2" s="1"/>
  <c r="W4" i="2"/>
  <c r="W24" i="2" s="1"/>
  <c r="V4" i="2"/>
  <c r="V24" i="2" s="1"/>
  <c r="U4" i="2"/>
  <c r="V1" i="2"/>
  <c r="W1" i="2" s="1"/>
  <c r="X1" i="2" s="1"/>
  <c r="Y1" i="2" s="1"/>
  <c r="Z1" i="2" s="1"/>
  <c r="AA1" i="2" s="1"/>
  <c r="AB1" i="2" s="1"/>
  <c r="AC1" i="2" s="1"/>
  <c r="AD1" i="2" s="1"/>
  <c r="AE1" i="2" s="1"/>
  <c r="O22" i="2"/>
  <c r="O21" i="2"/>
  <c r="J68" i="2"/>
  <c r="I68" i="2"/>
  <c r="H68" i="2"/>
  <c r="G68" i="2"/>
  <c r="F68" i="2"/>
  <c r="E68" i="2"/>
  <c r="D68" i="2"/>
  <c r="C68" i="2"/>
  <c r="O68" i="2"/>
  <c r="N68" i="2"/>
  <c r="M68" i="2"/>
  <c r="L68" i="2"/>
  <c r="K68" i="2"/>
  <c r="N81" i="2"/>
  <c r="M81" i="2"/>
  <c r="L81" i="2"/>
  <c r="K81" i="2"/>
  <c r="J81" i="2"/>
  <c r="I81" i="2"/>
  <c r="H81" i="2"/>
  <c r="G81" i="2"/>
  <c r="F81" i="2"/>
  <c r="E81" i="2"/>
  <c r="D81" i="2"/>
  <c r="C81" i="2"/>
  <c r="N89" i="2"/>
  <c r="N91" i="2" s="1"/>
  <c r="M89" i="2"/>
  <c r="M91" i="2" s="1"/>
  <c r="L89" i="2"/>
  <c r="L91" i="2" s="1"/>
  <c r="K89" i="2"/>
  <c r="K91" i="2" s="1"/>
  <c r="J89" i="2"/>
  <c r="J91" i="2" s="1"/>
  <c r="I89" i="2"/>
  <c r="I91" i="2" s="1"/>
  <c r="H89" i="2"/>
  <c r="H91" i="2" s="1"/>
  <c r="G89" i="2"/>
  <c r="G91" i="2" s="1"/>
  <c r="F89" i="2"/>
  <c r="F91" i="2" s="1"/>
  <c r="E89" i="2"/>
  <c r="E91" i="2" s="1"/>
  <c r="D89" i="2"/>
  <c r="D91" i="2" s="1"/>
  <c r="C89" i="2"/>
  <c r="C91" i="2" s="1"/>
  <c r="O89" i="2"/>
  <c r="O91" i="2" s="1"/>
  <c r="O81" i="2"/>
  <c r="N61" i="2"/>
  <c r="M61" i="2"/>
  <c r="K61" i="2"/>
  <c r="J61" i="2"/>
  <c r="I61" i="2"/>
  <c r="H61" i="2"/>
  <c r="G61" i="2"/>
  <c r="F61" i="2"/>
  <c r="E61" i="2"/>
  <c r="D61" i="2"/>
  <c r="C61" i="2"/>
  <c r="O61" i="2"/>
  <c r="J56" i="2"/>
  <c r="I56" i="2"/>
  <c r="H56" i="2"/>
  <c r="G56" i="2"/>
  <c r="F56" i="2"/>
  <c r="E56" i="2"/>
  <c r="D56" i="2"/>
  <c r="C56" i="2"/>
  <c r="K8" i="2"/>
  <c r="J8" i="2"/>
  <c r="I8" i="2"/>
  <c r="H8" i="2"/>
  <c r="G8" i="2"/>
  <c r="F8" i="2"/>
  <c r="E8" i="2"/>
  <c r="D8" i="2"/>
  <c r="C8" i="2"/>
  <c r="K4" i="2"/>
  <c r="K24" i="2" s="1"/>
  <c r="I4" i="2"/>
  <c r="H4" i="2"/>
  <c r="G4" i="2"/>
  <c r="F4" i="2"/>
  <c r="E4" i="2"/>
  <c r="D4" i="2"/>
  <c r="C4" i="2"/>
  <c r="O4" i="2"/>
  <c r="B3" i="1"/>
  <c r="AA5" i="2" l="1"/>
  <c r="Z5" i="2"/>
  <c r="Z20" i="2" s="1"/>
  <c r="Z3" i="2"/>
  <c r="Z4" i="2" s="1"/>
  <c r="Z24" i="2" s="1"/>
  <c r="AB6" i="2"/>
  <c r="AA21" i="2"/>
  <c r="Z21" i="2"/>
  <c r="AA18" i="2"/>
  <c r="L9" i="2"/>
  <c r="L12" i="2" s="1"/>
  <c r="L14" i="2" s="1"/>
  <c r="M14" i="2"/>
  <c r="O12" i="2"/>
  <c r="O14" i="2" s="1"/>
  <c r="O26" i="2" s="1"/>
  <c r="O24" i="2"/>
  <c r="O25" i="2"/>
  <c r="U9" i="2"/>
  <c r="U25" i="2" s="1"/>
  <c r="U24" i="2"/>
  <c r="Y9" i="2"/>
  <c r="Y25" i="2" s="1"/>
  <c r="V9" i="2"/>
  <c r="W9" i="2"/>
  <c r="X9" i="2"/>
  <c r="F9" i="2"/>
  <c r="F12" i="2" s="1"/>
  <c r="F14" i="2" s="1"/>
  <c r="F16" i="2" s="1"/>
  <c r="C9" i="2"/>
  <c r="C12" i="2" s="1"/>
  <c r="C14" i="2" s="1"/>
  <c r="D9" i="2"/>
  <c r="D12" i="2" s="1"/>
  <c r="D14" i="2" s="1"/>
  <c r="J9" i="2"/>
  <c r="E9" i="2"/>
  <c r="E12" i="2" s="1"/>
  <c r="E14" i="2" s="1"/>
  <c r="K9" i="2"/>
  <c r="G9" i="2"/>
  <c r="G12" i="2" s="1"/>
  <c r="G14" i="2" s="1"/>
  <c r="H9" i="2"/>
  <c r="H12" i="2" s="1"/>
  <c r="H14" i="2" s="1"/>
  <c r="I9" i="2"/>
  <c r="I12" i="2" s="1"/>
  <c r="I14" i="2" s="1"/>
  <c r="Z8" i="2" l="1"/>
  <c r="Z9" i="2" s="1"/>
  <c r="Z25" i="2" s="1"/>
  <c r="AB5" i="2"/>
  <c r="AC6" i="2"/>
  <c r="AB21" i="2"/>
  <c r="AB18" i="2"/>
  <c r="AA3" i="2"/>
  <c r="AA4" i="2" s="1"/>
  <c r="AA24" i="2" s="1"/>
  <c r="O28" i="2"/>
  <c r="O46" i="2" s="1"/>
  <c r="O65" i="2" s="1"/>
  <c r="O16" i="2"/>
  <c r="K12" i="2"/>
  <c r="K14" i="2" s="1"/>
  <c r="K26" i="2" s="1"/>
  <c r="K25" i="2"/>
  <c r="J12" i="2"/>
  <c r="J14" i="2" s="1"/>
  <c r="J26" i="2" s="1"/>
  <c r="J25" i="2"/>
  <c r="N12" i="2"/>
  <c r="N14" i="2" s="1"/>
  <c r="N28" i="2" s="1"/>
  <c r="N46" i="2" s="1"/>
  <c r="N65" i="2" s="1"/>
  <c r="N25" i="2"/>
  <c r="Y12" i="2"/>
  <c r="Y14" i="2" s="1"/>
  <c r="Y28" i="2" s="1"/>
  <c r="Y46" i="2" s="1"/>
  <c r="Y65" i="2" s="1"/>
  <c r="U12" i="2"/>
  <c r="U14" i="2" s="1"/>
  <c r="U26" i="2" s="1"/>
  <c r="X25" i="2"/>
  <c r="X12" i="2"/>
  <c r="X14" i="2" s="1"/>
  <c r="W25" i="2"/>
  <c r="W12" i="2"/>
  <c r="W14" i="2" s="1"/>
  <c r="V12" i="2"/>
  <c r="V14" i="2" s="1"/>
  <c r="V25" i="2"/>
  <c r="F28" i="2"/>
  <c r="F46" i="2" s="1"/>
  <c r="F65" i="2" s="1"/>
  <c r="I16" i="2"/>
  <c r="I28" i="2"/>
  <c r="I46" i="2" s="1"/>
  <c r="I65" i="2" s="1"/>
  <c r="H16" i="2"/>
  <c r="H28" i="2"/>
  <c r="H46" i="2" s="1"/>
  <c r="H65" i="2" s="1"/>
  <c r="M16" i="2"/>
  <c r="M28" i="2"/>
  <c r="M46" i="2" s="1"/>
  <c r="M65" i="2" s="1"/>
  <c r="P66" i="2" s="1"/>
  <c r="D16" i="2"/>
  <c r="D28" i="2"/>
  <c r="D46" i="2" s="1"/>
  <c r="D65" i="2" s="1"/>
  <c r="G16" i="2"/>
  <c r="G28" i="2"/>
  <c r="G46" i="2" s="1"/>
  <c r="G65" i="2" s="1"/>
  <c r="E16" i="2"/>
  <c r="E28" i="2"/>
  <c r="E46" i="2" s="1"/>
  <c r="E65" i="2" s="1"/>
  <c r="L16" i="2"/>
  <c r="L28" i="2"/>
  <c r="L46" i="2" s="1"/>
  <c r="L65" i="2" s="1"/>
  <c r="C16" i="2"/>
  <c r="C28" i="2"/>
  <c r="C46" i="2" s="1"/>
  <c r="C65" i="2" s="1"/>
  <c r="AC5" i="2" l="1"/>
  <c r="AD6" i="2"/>
  <c r="AC21" i="2"/>
  <c r="AA8" i="2"/>
  <c r="AA9" i="2" s="1"/>
  <c r="AA25" i="2" s="1"/>
  <c r="AA20" i="2"/>
  <c r="AC18" i="2"/>
  <c r="AC3" i="2"/>
  <c r="AC4" i="2" s="1"/>
  <c r="AB3" i="2"/>
  <c r="AB4" i="2" s="1"/>
  <c r="AB24" i="2" s="1"/>
  <c r="Z12" i="2"/>
  <c r="J28" i="2"/>
  <c r="J46" i="2" s="1"/>
  <c r="J65" i="2" s="1"/>
  <c r="J66" i="2" s="1"/>
  <c r="J16" i="2"/>
  <c r="K16" i="2"/>
  <c r="K28" i="2"/>
  <c r="K46" i="2" s="1"/>
  <c r="K65" i="2" s="1"/>
  <c r="N16" i="2"/>
  <c r="N26" i="2"/>
  <c r="Y26" i="2"/>
  <c r="Y16" i="2"/>
  <c r="U28" i="2"/>
  <c r="U46" i="2" s="1"/>
  <c r="U65" i="2" s="1"/>
  <c r="U16" i="2"/>
  <c r="X28" i="2"/>
  <c r="X46" i="2" s="1"/>
  <c r="X16" i="2"/>
  <c r="X26" i="2"/>
  <c r="W28" i="2"/>
  <c r="W46" i="2" s="1"/>
  <c r="W16" i="2"/>
  <c r="W26" i="2"/>
  <c r="V28" i="2"/>
  <c r="V46" i="2" s="1"/>
  <c r="V65" i="2" s="1"/>
  <c r="V16" i="2"/>
  <c r="V26" i="2"/>
  <c r="O66" i="2"/>
  <c r="H66" i="2"/>
  <c r="G66" i="2"/>
  <c r="I66" i="2"/>
  <c r="AE5" i="2" l="1"/>
  <c r="AD5" i="2"/>
  <c r="AE6" i="2"/>
  <c r="AE21" i="2" s="1"/>
  <c r="AD21" i="2"/>
  <c r="AD18" i="2"/>
  <c r="AB8" i="2"/>
  <c r="AB9" i="2" s="1"/>
  <c r="AB25" i="2" s="1"/>
  <c r="AB20" i="2"/>
  <c r="AC8" i="2"/>
  <c r="AC9" i="2" s="1"/>
  <c r="AC20" i="2"/>
  <c r="AD3" i="2"/>
  <c r="AD4" i="2" s="1"/>
  <c r="Z13" i="2"/>
  <c r="Z14" i="2" s="1"/>
  <c r="AC24" i="2"/>
  <c r="K66" i="2"/>
  <c r="L66" i="2"/>
  <c r="N66" i="2"/>
  <c r="M66" i="2"/>
  <c r="AE18" i="2" l="1"/>
  <c r="AD8" i="2"/>
  <c r="AD9" i="2" s="1"/>
  <c r="AD20" i="2"/>
  <c r="AE3" i="2"/>
  <c r="AE4" i="2" s="1"/>
  <c r="Z28" i="2"/>
  <c r="Z46" i="2" s="1"/>
  <c r="Z65" i="2" s="1"/>
  <c r="Z26" i="2"/>
  <c r="Z16" i="2"/>
  <c r="Z68" i="2"/>
  <c r="AA11" i="2" s="1"/>
  <c r="AA12" i="2" s="1"/>
  <c r="AC25" i="2"/>
  <c r="AD24" i="2"/>
  <c r="AE8" i="2" l="1"/>
  <c r="AE9" i="2" s="1"/>
  <c r="AE25" i="2" s="1"/>
  <c r="AE20" i="2"/>
  <c r="AE24" i="2"/>
  <c r="AA13" i="2"/>
  <c r="AA14" i="2" s="1"/>
  <c r="AD25" i="2"/>
  <c r="AA68" i="2" l="1"/>
  <c r="AB11" i="2" s="1"/>
  <c r="AB12" i="2" s="1"/>
  <c r="AA16" i="2"/>
  <c r="AA26" i="2"/>
  <c r="AA28" i="2"/>
  <c r="AA46" i="2" s="1"/>
  <c r="AA65" i="2" s="1"/>
  <c r="AB13" i="2" l="1"/>
  <c r="AB14" i="2" s="1"/>
  <c r="AB68" i="2" l="1"/>
  <c r="AB26" i="2"/>
  <c r="AB16" i="2"/>
  <c r="AB28" i="2"/>
  <c r="AB46" i="2" s="1"/>
  <c r="AB65" i="2" s="1"/>
  <c r="AC11" i="2" l="1"/>
  <c r="AC12" i="2" s="1"/>
  <c r="AC13" i="2" l="1"/>
  <c r="AC14" i="2" s="1"/>
  <c r="AC28" i="2" l="1"/>
  <c r="AC46" i="2" s="1"/>
  <c r="AC65" i="2" s="1"/>
  <c r="AC16" i="2"/>
  <c r="AC26" i="2"/>
  <c r="AC68" i="2"/>
  <c r="AD11" i="2" l="1"/>
  <c r="AD12" i="2" s="1"/>
  <c r="AD13" i="2" l="1"/>
  <c r="AD14" i="2" s="1"/>
  <c r="AD16" i="2" l="1"/>
  <c r="AD26" i="2"/>
  <c r="AD28" i="2"/>
  <c r="AD46" i="2" s="1"/>
  <c r="AD65" i="2" s="1"/>
  <c r="AD68" i="2"/>
  <c r="AE11" i="2" l="1"/>
  <c r="AE12" i="2" s="1"/>
  <c r="AE13" i="2" l="1"/>
  <c r="AE14" i="2" s="1"/>
  <c r="AF14" i="2" s="1"/>
  <c r="AG14" i="2" l="1"/>
  <c r="AH14" i="2" s="1"/>
  <c r="AI14" i="2" s="1"/>
  <c r="AJ14" i="2" s="1"/>
  <c r="AK14" i="2" s="1"/>
  <c r="AL14" i="2" s="1"/>
  <c r="AM14" i="2" s="1"/>
  <c r="AN14" i="2" s="1"/>
  <c r="AO14" i="2" s="1"/>
  <c r="AP14" i="2" s="1"/>
  <c r="AQ14" i="2" s="1"/>
  <c r="AR14" i="2" s="1"/>
  <c r="AS14" i="2" s="1"/>
  <c r="AT14" i="2" s="1"/>
  <c r="AU14" i="2" s="1"/>
  <c r="AV14" i="2" s="1"/>
  <c r="AW14" i="2" s="1"/>
  <c r="AX14" i="2" s="1"/>
  <c r="AY14" i="2" s="1"/>
  <c r="AZ14" i="2" s="1"/>
  <c r="BA14" i="2" s="1"/>
  <c r="BB14" i="2" s="1"/>
  <c r="BC14" i="2" s="1"/>
  <c r="BD14" i="2" s="1"/>
  <c r="BE14" i="2" s="1"/>
  <c r="BF14" i="2" s="1"/>
  <c r="BG14" i="2" s="1"/>
  <c r="BH14" i="2" s="1"/>
  <c r="BI14" i="2" s="1"/>
  <c r="BJ14" i="2" s="1"/>
  <c r="BK14" i="2" s="1"/>
  <c r="BL14" i="2" s="1"/>
  <c r="BM14" i="2" s="1"/>
  <c r="BN14" i="2" s="1"/>
  <c r="BO14" i="2" s="1"/>
  <c r="BP14" i="2" s="1"/>
  <c r="BQ14" i="2" s="1"/>
  <c r="BR14" i="2" s="1"/>
  <c r="BS14" i="2" s="1"/>
  <c r="BT14" i="2" s="1"/>
  <c r="BU14" i="2" s="1"/>
  <c r="BV14" i="2" s="1"/>
  <c r="AE28" i="2"/>
  <c r="AE46" i="2" s="1"/>
  <c r="AE65" i="2" s="1"/>
  <c r="AE16" i="2"/>
  <c r="AE26" i="2"/>
  <c r="AE68" i="2"/>
  <c r="AH5" i="2" l="1"/>
  <c r="AH7" i="2" s="1"/>
  <c r="AH8"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<sst xmlns="http://schemas.openxmlformats.org/spreadsheetml/2006/main" count="132" uniqueCount="122">
  <si>
    <t>ticket</t>
  </si>
  <si>
    <t>price</t>
  </si>
  <si>
    <t>shares</t>
  </si>
  <si>
    <t>mc</t>
  </si>
  <si>
    <t>cash</t>
  </si>
  <si>
    <t>debt</t>
  </si>
  <si>
    <t>ev</t>
  </si>
  <si>
    <t>Q1 24</t>
  </si>
  <si>
    <t>Q1 2021</t>
  </si>
  <si>
    <t>Q2 2021</t>
  </si>
  <si>
    <t>Q3 2021</t>
  </si>
  <si>
    <t>Q4 2021</t>
  </si>
  <si>
    <t>Q1 2022</t>
  </si>
  <si>
    <t>Q2 2022</t>
  </si>
  <si>
    <t>Q3 2022</t>
  </si>
  <si>
    <t>Q4 2022</t>
  </si>
  <si>
    <t>Q1 2023</t>
  </si>
  <si>
    <t>Q2 2023</t>
  </si>
  <si>
    <t>Q3 2023</t>
  </si>
  <si>
    <t>Q4 2023</t>
  </si>
  <si>
    <t>Q1 2024</t>
  </si>
  <si>
    <t>Q2 2024</t>
  </si>
  <si>
    <t>Q3 2024</t>
  </si>
  <si>
    <t>Q4 2024</t>
  </si>
  <si>
    <t>Revenue</t>
  </si>
  <si>
    <t>COGS</t>
  </si>
  <si>
    <t>Gross Profit</t>
  </si>
  <si>
    <t>R&amp;D</t>
  </si>
  <si>
    <t>S&amp;M</t>
  </si>
  <si>
    <t>G&amp;A</t>
  </si>
  <si>
    <t>Total Opex</t>
  </si>
  <si>
    <t>Operating Income</t>
  </si>
  <si>
    <t>Gains on investments</t>
  </si>
  <si>
    <t>Other Income</t>
  </si>
  <si>
    <t>Pretax Income</t>
  </si>
  <si>
    <t>Taxes</t>
  </si>
  <si>
    <t>Net Income</t>
  </si>
  <si>
    <t>Shares</t>
  </si>
  <si>
    <t>EPS</t>
  </si>
  <si>
    <t>main</t>
  </si>
  <si>
    <t>Revenue Y/Y</t>
  </si>
  <si>
    <t>SBC</t>
  </si>
  <si>
    <t>Amortization</t>
  </si>
  <si>
    <t>D&amp;A</t>
  </si>
  <si>
    <t>Provision for AR</t>
  </si>
  <si>
    <t>Non-cash op costs</t>
  </si>
  <si>
    <t>Amortization of mk sec</t>
  </si>
  <si>
    <t>Other</t>
  </si>
  <si>
    <t>AR</t>
  </si>
  <si>
    <t>Prepaid Expenses</t>
  </si>
  <si>
    <t>Deferred contracts costs</t>
  </si>
  <si>
    <t>AP</t>
  </si>
  <si>
    <t>Accrued expenses</t>
  </si>
  <si>
    <t>Deferred Revenue</t>
  </si>
  <si>
    <t>Operating lease liabilities</t>
  </si>
  <si>
    <t>CFFO</t>
  </si>
  <si>
    <t>Purchases of mkt sec</t>
  </si>
  <si>
    <t>Maturities of mkt sec</t>
  </si>
  <si>
    <t>Purchases of PPE</t>
  </si>
  <si>
    <t>Purchase of investments</t>
  </si>
  <si>
    <t>Proceeds from investments</t>
  </si>
  <si>
    <t>Acquisitions</t>
  </si>
  <si>
    <t>CFFI</t>
  </si>
  <si>
    <t>Stock Options</t>
  </si>
  <si>
    <t>Employee equity transactions</t>
  </si>
  <si>
    <t>Repurchases of common stock</t>
  </si>
  <si>
    <t>Deferred taxes</t>
  </si>
  <si>
    <t>Unrealized FX losses</t>
  </si>
  <si>
    <t>CFFF</t>
  </si>
  <si>
    <t xml:space="preserve">FX </t>
  </si>
  <si>
    <t>Net increase in cash</t>
  </si>
  <si>
    <t>FCF</t>
  </si>
  <si>
    <t>TTM FCF</t>
  </si>
  <si>
    <t>net cash</t>
  </si>
  <si>
    <t>mkt sec</t>
  </si>
  <si>
    <t>Deferred contract acq costs</t>
  </si>
  <si>
    <t>Prepaid expenses</t>
  </si>
  <si>
    <t>Deferred contract acq costs NC</t>
  </si>
  <si>
    <t>PPE</t>
  </si>
  <si>
    <t>Operating lease rou assets</t>
  </si>
  <si>
    <t>Stratigic investments</t>
  </si>
  <si>
    <t xml:space="preserve">Goodwill </t>
  </si>
  <si>
    <t>other assets</t>
  </si>
  <si>
    <t>Deferred revenue</t>
  </si>
  <si>
    <t>Deferred revenue NC</t>
  </si>
  <si>
    <t>Total Liabilities</t>
  </si>
  <si>
    <t>Total Assets</t>
  </si>
  <si>
    <t>S/E</t>
  </si>
  <si>
    <t>S/E + L</t>
  </si>
  <si>
    <t>other liabilities</t>
  </si>
  <si>
    <t>R&amp;D Y/Y</t>
  </si>
  <si>
    <t>S&amp;M Y/Y</t>
  </si>
  <si>
    <t>G&amp;A Y/Y</t>
  </si>
  <si>
    <t>Gross Margin %</t>
  </si>
  <si>
    <t>Operating Margin %</t>
  </si>
  <si>
    <t>Net Margin %</t>
  </si>
  <si>
    <t>Purchases of Intangibles</t>
  </si>
  <si>
    <t>Sales of mkt sec</t>
  </si>
  <si>
    <t>Founded</t>
  </si>
  <si>
    <t>Founder</t>
  </si>
  <si>
    <t>CEO</t>
  </si>
  <si>
    <t>HQ</t>
  </si>
  <si>
    <t>IPO</t>
  </si>
  <si>
    <t>Eric Yuan</t>
  </si>
  <si>
    <t>San Jose, CA, US</t>
  </si>
  <si>
    <t>2019, NASDAQ</t>
  </si>
  <si>
    <t>Industry</t>
  </si>
  <si>
    <t>Video and audio conferencing</t>
  </si>
  <si>
    <t>Microsoft Teams</t>
  </si>
  <si>
    <t>Google Meet</t>
  </si>
  <si>
    <t>Cisco Webex</t>
  </si>
  <si>
    <t>Slack (Salesforce)</t>
  </si>
  <si>
    <t>Competitors:</t>
  </si>
  <si>
    <t>Discount</t>
  </si>
  <si>
    <t>Maturity</t>
  </si>
  <si>
    <t>ROIC</t>
  </si>
  <si>
    <t>NPV</t>
  </si>
  <si>
    <t>Net Cash</t>
  </si>
  <si>
    <t>Mkt price</t>
  </si>
  <si>
    <t>$100k+ costumers</t>
  </si>
  <si>
    <t>Enterprise costumers</t>
  </si>
  <si>
    <t>Red Flag: Too High SBC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</si>
</sst>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 ;_-[$$-409]* \-#,##0.00\ ;_-[$$-409]* &quot;-&quot;??_ ;_-@_ "/>
    <numFmt numFmtId="165" formatCode="0.0%"/>
    <numFmt numFmtId="166" formatCode="_([$$-409]* #,##0.00_);_([$$-409]* \(#,##0.00\);_([$$-409]* &quot;-&quot;??_);_(@_)"/>
  </numFmts>
  <fonts count="6" x14ac:knownFonts="1">
    <font>
      <sz val="11"/>
      <color theme="1"/>
      <name val="Aptos Narrow"/>
      <family val="2"/>
      <scheme val="minor"/>
    </font>
    <font>
      <sz val="10"/>
      <color theme="1"/>
      <name val="Arial"/>
      <family val="2"/>
    </font>
    <font>
      <b/>
      <sz val="10"/>
      <color theme="1"/>
      <name val="Arial"/>
      <family val="2"/>
    </font>
    <font>
      <u/>
      <sz val="11"/>
      <color theme="10"/>
      <name val="Aptos Narrow"/>
      <family val="2"/>
      <scheme val="minor"/>
    </font>
    <font>
      <b/>
      <sz val="10"/>
      <color rgb="FFFF0000"/>
      <name val="Arial"/>
      <family val="2"/>
    </font>
    <font>
      <b/>
      <u/>
      <sz val="10"/>
      <color rgb="FFFF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3" fontId="1" fillId="0" borderId="0" xfId="0" applyNumberFormat="1" applyFont="1"/>
    <xf numFmtId="0" fontId="2" fillId="0" borderId="0" xfId="0" applyFont="1"/>
    <xf numFmtId="0" fontId="3" fillId="0" borderId="0" xfId="1"/>
    <xf numFmtId="164" fontId="1" fillId="0" borderId="0" xfId="0" applyNumberFormat="1" applyFont="1"/>
    <xf numFmtId="9" fontId="1" fillId="0" borderId="0" xfId="0" applyNumberFormat="1" applyFont="1"/>
    <xf numFmtId="3" fontId="2" fillId="0" borderId="0" xfId="0" applyNumberFormat="1" applyFont="1"/>
    <xf numFmtId="3" fontId="4" fillId="2" borderId="0" xfId="0" applyNumberFormat="1" applyFont="1" applyFill="1"/>
    <xf numFmtId="165" fontId="1" fillId="0" borderId="0" xfId="0" applyNumberFormat="1" applyFont="1"/>
    <xf numFmtId="166" fontId="1" fillId="0" borderId="0" xfId="0" applyNumberFormat="1" applyFont="1"/>
    <xf numFmtId="0" fontId="5"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15</xdr:col>
      <xdr:colOff>600075</xdr:colOff>
      <xdr:row>0</xdr:row>
      <xdr:rowOff>0</xdr:rowOff>
    </xdr:from>
    <xdr:to>
      <xdr:col>16</xdr:col>
      <xdr:colOff>0</xdr:colOff>
      <xdr:row>84</xdr:row>
      <xdr:rowOff>38100</xdr:rowOff>
    </xdr:to>
    <xdr:cxnSp macro="">
      <xdr:nvCxnSpPr>
        <xdr:cNvPr id="3" name="Straight Connector 2">
          <a:extLst>
            <a:ext uri="{FF2B5EF4-FFF2-40B4-BE49-F238E27FC236}">
              <a16:creationId xmlns:a16="http://schemas.microsoft.com/office/drawing/2014/main" id="{F42C779B-C3B8-09E1-48B9-8B0D0C62F8FD}"/>
            </a:ext>
          </a:extLst>
        </xdr:cNvPr>
        <xdr:cNvCxnSpPr/>
      </xdr:nvCxnSpPr>
      <xdr:spPr>
        <a:xfrm flipH="1">
          <a:off x="10639425" y="0"/>
          <a:ext cx="9525" cy="1366837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9525</xdr:colOff>
      <xdr:row>0</xdr:row>
      <xdr:rowOff>0</xdr:rowOff>
    </xdr:from>
    <xdr:to>
      <xdr:col>25</xdr:col>
      <xdr:colOff>28575</xdr:colOff>
      <xdr:row>95</xdr:row>
      <xdr:rowOff>123825</xdr:rowOff>
    </xdr:to>
    <xdr:cxnSp macro="">
      <xdr:nvCxnSpPr>
        <xdr:cNvPr id="10" name="Straight Connector 9">
          <a:extLst>
            <a:ext uri="{FF2B5EF4-FFF2-40B4-BE49-F238E27FC236}">
              <a16:creationId xmlns:a16="http://schemas.microsoft.com/office/drawing/2014/main" id="{1A77519A-8FFC-4C6D-A617-4923CB1DBDE6}"/>
            </a:ext>
          </a:extLst>
        </xdr:cNvPr>
        <xdr:cNvCxnSpPr/>
      </xdr:nvCxnSpPr>
      <xdr:spPr>
        <a:xfrm>
          <a:off x="16144875" y="0"/>
          <a:ext cx="19050" cy="1553527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https://www.bing.com/financeapi/forcetrigger?t=bpoxyc&amp;q=XNAS%3aZM&amp;form=skydnc</v>
    <v>Learn more on Bing</v>
  </rv>
  <rv s="1">
    <v>en-GB</v>
    <v>bpoxyc</v>
    <v>268435456</v>
    <v>1</v>
    <v>Powered by Refinitiv</v>
    <v>0</v>
    <v>Zoom Communications, Inc. (XNAS:ZM)</v>
    <v>2</v>
    <v>3</v>
    <v>Finance</v>
    <v>4</v>
    <v>92.8</v>
    <v>55.06</v>
    <v>-2.4799999999999999E-2</v>
    <v>-1.62</v>
    <v>-3.4989999999999999E-3</v>
    <v>-1.8960999999999999E-2</v>
    <v>-0.29330000000000001</v>
    <v>USD</v>
    <v>Zoom Communications, Inc., formerly Zoom Video Communications, Inc., provides an artificial intelligence (AI) work platform for human connection. Zoom Workplace, the Company’s AI-powered, open collaboration platform built for modern work enables to streamline communications, increase employee engagement, optimize in-person time, improve productivity, and offer customer choice with third-party apps and integrations. Zoom Workplace, powered by Zoom AI Companion include collaboration solutions like meetings, team chat, phone, scheduler, whiteboard, spaces, Workvivo, and more. Its communication products include Zoom Meetings, Zoom Phone, Zoom Team Chat, Zoom scheduler, and Zoom mail and calendar. Its productivity products include Zoom docs, Zoom whiteboard, Zoom clips, and Zoom tasks. Its space products include Zoom rooms, Zoom workspace reservation, and Zoom visitor management. It serves various industries, including education, financial service, government, retail, and healthcare.</v>
    <v>7420</v>
    <v>Nasdaq Stock Market</v>
    <v>XNAS</v>
    <v>XNAS</v>
    <v>55 Almaden Boulevard, 6Th Floor, SAN JOSE, CA, 95113 US</v>
    <v>85.495000000000005</v>
    <v>Software &amp; IT Services</v>
    <v>Stock</v>
    <v>45654.039634015622</v>
    <v>0</v>
    <v>82.72</v>
    <v>25690402517</v>
    <v>Zoom Communications, Inc.</v>
    <v>Zoom Communications, Inc.</v>
    <v>85.2</v>
    <v>28.4772</v>
    <v>85.44</v>
    <v>83.82</v>
    <v>83.526700000000005</v>
    <v>306494900</v>
    <v>ZM</v>
    <v>Zoom Communications, Inc. (XNAS:ZM)</v>
    <v>2140487</v>
    <v>4081040</v>
    <v>2011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36226-0473-4C4F-B70D-062E790A2D14}">
  <dimension ref="A1:G14"/>
  <sheetViews>
    <sheetView showGridLines="0" workbookViewId="0">
      <selection activeCell="E24" sqref="E24"/>
    </sheetView>
  </sheetViews>
  <sheetFormatPr defaultRowHeight="12.75" x14ac:dyDescent="0.2"/>
  <cols>
    <col min="1" max="16384" width="9.140625" style="1"/>
  </cols>
  <sheetData>
    <row r="1" spans="1:7" x14ac:dyDescent="0.2">
      <c r="A1" s="1" t="s">
        <v>0</v>
      </c>
      <c r="B1" s="1" t="e" vm="1">
        <v>#VALUE!</v>
      </c>
      <c r="E1" s="3" t="s">
        <v>98</v>
      </c>
      <c r="F1" s="1">
        <v>2011</v>
      </c>
    </row>
    <row r="2" spans="1:7" x14ac:dyDescent="0.2">
      <c r="A2" s="1" t="s">
        <v>1</v>
      </c>
      <c r="B2" s="10" cm="1">
        <f t="array" aca="1" ref="B2" ca="1">+_FV(B1,"Price")</f>
        <v>83.82</v>
      </c>
      <c r="E2" s="3" t="s">
        <v>99</v>
      </c>
      <c r="F2" s="1" t="s">
        <v>103</v>
      </c>
    </row>
    <row r="3" spans="1:7" x14ac:dyDescent="0.2">
      <c r="A3" s="1" t="s">
        <v>2</v>
      </c>
      <c r="B3" s="1">
        <f>263.616605+45.660427</f>
        <v>309.27703199999996</v>
      </c>
      <c r="E3" s="3" t="s">
        <v>100</v>
      </c>
      <c r="F3" s="1" t="s">
        <v>103</v>
      </c>
    </row>
    <row r="4" spans="1:7" x14ac:dyDescent="0.2">
      <c r="A4" s="1" t="s">
        <v>3</v>
      </c>
      <c r="B4" s="2">
        <f ca="1">+B2*B3</f>
        <v>25923.600822239994</v>
      </c>
      <c r="E4" s="3" t="s">
        <v>101</v>
      </c>
      <c r="F4" s="1" t="s">
        <v>104</v>
      </c>
    </row>
    <row r="5" spans="1:7" x14ac:dyDescent="0.2">
      <c r="A5" s="1" t="s">
        <v>4</v>
      </c>
      <c r="B5" s="2">
        <f>+model!P69+model!P70+model!P77</f>
        <v>7958.5609999999997</v>
      </c>
      <c r="C5" s="1" t="s">
        <v>7</v>
      </c>
      <c r="E5" s="3" t="s">
        <v>102</v>
      </c>
      <c r="F5" s="1" t="s">
        <v>105</v>
      </c>
    </row>
    <row r="6" spans="1:7" x14ac:dyDescent="0.2">
      <c r="A6" s="1" t="s">
        <v>5</v>
      </c>
      <c r="B6" s="2">
        <v>0</v>
      </c>
      <c r="C6" s="1" t="s">
        <v>7</v>
      </c>
      <c r="E6" s="3" t="s">
        <v>106</v>
      </c>
      <c r="F6" s="1" t="s">
        <v>107</v>
      </c>
    </row>
    <row r="7" spans="1:7" x14ac:dyDescent="0.2">
      <c r="A7" s="1" t="s">
        <v>6</v>
      </c>
      <c r="B7" s="2">
        <f ca="1">+B4-B5+B6</f>
        <v>17965.039822239996</v>
      </c>
    </row>
    <row r="10" spans="1:7" x14ac:dyDescent="0.2">
      <c r="A10" s="3" t="s">
        <v>112</v>
      </c>
      <c r="E10" s="11" t="s">
        <v>121</v>
      </c>
      <c r="F10" s="11"/>
      <c r="G10" s="11"/>
    </row>
    <row r="11" spans="1:7" x14ac:dyDescent="0.2">
      <c r="A11" s="1" t="s">
        <v>108</v>
      </c>
    </row>
    <row r="12" spans="1:7" x14ac:dyDescent="0.2">
      <c r="A12" s="1" t="s">
        <v>109</v>
      </c>
    </row>
    <row r="13" spans="1:7" x14ac:dyDescent="0.2">
      <c r="A13" s="1" t="s">
        <v>110</v>
      </c>
    </row>
    <row r="14" spans="1:7" x14ac:dyDescent="0.2">
      <c r="A14" s="1" t="s">
        <v>111</v>
      </c>
    </row>
  </sheetData>
  <mergeCells count="1">
    <mergeCell ref="E10:G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6711A-3DD1-492C-ACB2-D3AD406A0E63}">
  <dimension ref="A1:BV94"/>
  <sheetViews>
    <sheetView tabSelected="1" workbookViewId="0">
      <pane xSplit="2" ySplit="1" topLeftCell="G2" activePane="bottomRight" state="frozen"/>
      <selection pane="topRight" activeCell="B1" sqref="B1"/>
      <selection pane="bottomLeft" activeCell="A2" sqref="A2"/>
      <selection pane="bottomRight" activeCell="T29" sqref="T29"/>
    </sheetView>
  </sheetViews>
  <sheetFormatPr defaultRowHeight="12.75" x14ac:dyDescent="0.2"/>
  <cols>
    <col min="1" max="1" width="5.5703125" style="1" bestFit="1" customWidth="1"/>
    <col min="2" max="2" width="27.28515625" style="1" bestFit="1" customWidth="1"/>
    <col min="3" max="3" width="8" style="1" bestFit="1" customWidth="1"/>
    <col min="4" max="33" width="9.140625" style="1"/>
    <col min="34" max="34" width="9.7109375" style="1" bestFit="1" customWidth="1"/>
    <col min="35" max="16384" width="9.140625" style="1"/>
  </cols>
  <sheetData>
    <row r="1" spans="1:74" ht="15" x14ac:dyDescent="0.25">
      <c r="A1" s="4" t="s">
        <v>39</v>
      </c>
      <c r="C1" s="3" t="s">
        <v>8</v>
      </c>
      <c r="D1" s="3" t="s">
        <v>9</v>
      </c>
      <c r="E1" s="3" t="s">
        <v>10</v>
      </c>
      <c r="F1" s="3" t="s">
        <v>11</v>
      </c>
      <c r="G1" s="3" t="s">
        <v>12</v>
      </c>
      <c r="H1" s="3" t="s">
        <v>13</v>
      </c>
      <c r="I1" s="3" t="s">
        <v>14</v>
      </c>
      <c r="J1" s="3" t="s">
        <v>15</v>
      </c>
      <c r="K1" s="3" t="s">
        <v>16</v>
      </c>
      <c r="L1" s="3" t="s">
        <v>17</v>
      </c>
      <c r="M1" s="3" t="s">
        <v>18</v>
      </c>
      <c r="N1" s="3" t="s">
        <v>19</v>
      </c>
      <c r="O1" s="3" t="s">
        <v>20</v>
      </c>
      <c r="P1" s="3" t="s">
        <v>21</v>
      </c>
      <c r="Q1" s="3" t="s">
        <v>22</v>
      </c>
      <c r="R1" s="3" t="s">
        <v>23</v>
      </c>
      <c r="U1" s="3">
        <v>2020</v>
      </c>
      <c r="V1" s="3">
        <f>+U1+1</f>
        <v>2021</v>
      </c>
      <c r="W1" s="3">
        <f t="shared" ref="W1:AE1" si="0">+V1+1</f>
        <v>2022</v>
      </c>
      <c r="X1" s="3">
        <f t="shared" si="0"/>
        <v>2023</v>
      </c>
      <c r="Y1" s="3">
        <f t="shared" si="0"/>
        <v>2024</v>
      </c>
      <c r="Z1" s="3">
        <f t="shared" si="0"/>
        <v>2025</v>
      </c>
      <c r="AA1" s="3">
        <f t="shared" si="0"/>
        <v>2026</v>
      </c>
      <c r="AB1" s="3">
        <f t="shared" si="0"/>
        <v>2027</v>
      </c>
      <c r="AC1" s="3">
        <f t="shared" si="0"/>
        <v>2028</v>
      </c>
      <c r="AD1" s="3">
        <f t="shared" si="0"/>
        <v>2029</v>
      </c>
      <c r="AE1" s="3">
        <f t="shared" si="0"/>
        <v>2030</v>
      </c>
    </row>
    <row r="2" spans="1:74" x14ac:dyDescent="0.2">
      <c r="B2" s="1" t="s">
        <v>24</v>
      </c>
      <c r="C2" s="2"/>
      <c r="D2" s="2"/>
      <c r="E2" s="2"/>
      <c r="F2" s="2"/>
      <c r="G2" s="2">
        <v>1073.8</v>
      </c>
      <c r="H2" s="2">
        <v>1099.4580000000001</v>
      </c>
      <c r="I2" s="2">
        <v>1101.8989999999999</v>
      </c>
      <c r="J2" s="2"/>
      <c r="K2" s="2">
        <v>1105.364</v>
      </c>
      <c r="L2" s="2">
        <v>1138.6759999999999</v>
      </c>
      <c r="M2" s="2">
        <v>1136.7270000000001</v>
      </c>
      <c r="O2" s="2">
        <v>1141.2339999999999</v>
      </c>
      <c r="P2" s="2">
        <v>1162.52</v>
      </c>
      <c r="Q2" s="2">
        <f>+M2*1.021</f>
        <v>1160.5982670000001</v>
      </c>
      <c r="R2" s="2"/>
      <c r="U2" s="2">
        <v>622.65800000000002</v>
      </c>
      <c r="V2" s="2">
        <v>2651.3679999999999</v>
      </c>
      <c r="W2" s="2">
        <v>4099.8639999999996</v>
      </c>
      <c r="X2" s="2">
        <v>4392.96</v>
      </c>
      <c r="Y2" s="2">
        <v>4527.2240000000002</v>
      </c>
      <c r="Z2" s="2">
        <f>+Y2*1.023</f>
        <v>4631.350152</v>
      </c>
      <c r="AA2" s="2">
        <f t="shared" ref="AA2:AE2" si="1">+Z2*1.023</f>
        <v>4737.8712054959997</v>
      </c>
      <c r="AB2" s="2">
        <f t="shared" si="1"/>
        <v>4846.842243222407</v>
      </c>
      <c r="AC2" s="2">
        <f t="shared" si="1"/>
        <v>4958.3196148165216</v>
      </c>
      <c r="AD2" s="2">
        <f t="shared" si="1"/>
        <v>5072.3609659573012</v>
      </c>
      <c r="AE2" s="2">
        <f t="shared" si="1"/>
        <v>5189.0252681743186</v>
      </c>
      <c r="AG2" s="1" t="s">
        <v>113</v>
      </c>
      <c r="AH2" s="6">
        <v>0.08</v>
      </c>
    </row>
    <row r="3" spans="1:74" x14ac:dyDescent="0.2">
      <c r="B3" s="1" t="s">
        <v>25</v>
      </c>
      <c r="C3" s="2"/>
      <c r="D3" s="2"/>
      <c r="E3" s="2"/>
      <c r="F3" s="2"/>
      <c r="G3" s="2">
        <v>261.82100000000003</v>
      </c>
      <c r="H3" s="2">
        <v>273.61099999999999</v>
      </c>
      <c r="I3" s="2">
        <v>270.66500000000002</v>
      </c>
      <c r="J3" s="2"/>
      <c r="K3" s="2">
        <v>263.947</v>
      </c>
      <c r="L3" s="2">
        <v>266.55900000000003</v>
      </c>
      <c r="M3" s="2">
        <v>270.988</v>
      </c>
      <c r="O3" s="2">
        <v>273.30200000000002</v>
      </c>
      <c r="P3" s="2">
        <v>285.089</v>
      </c>
      <c r="Q3" s="2"/>
      <c r="R3" s="2"/>
      <c r="U3" s="2">
        <v>115.396</v>
      </c>
      <c r="V3" s="2">
        <v>821.98900000000003</v>
      </c>
      <c r="W3" s="2">
        <v>1054.5540000000001</v>
      </c>
      <c r="X3" s="2">
        <v>1100.451</v>
      </c>
      <c r="Y3" s="2">
        <v>1077.8009999999999</v>
      </c>
      <c r="Z3" s="2">
        <f>+Z2*0.24</f>
        <v>1111.5240364799999</v>
      </c>
      <c r="AA3" s="2">
        <f t="shared" ref="AA3:AE3" si="2">+AA2*0.24</f>
        <v>1137.0890893190399</v>
      </c>
      <c r="AB3" s="2">
        <f t="shared" si="2"/>
        <v>1163.2421383733777</v>
      </c>
      <c r="AC3" s="2">
        <f t="shared" si="2"/>
        <v>1189.996707555965</v>
      </c>
      <c r="AD3" s="2">
        <f t="shared" si="2"/>
        <v>1217.3666318297524</v>
      </c>
      <c r="AE3" s="2">
        <f t="shared" si="2"/>
        <v>1245.3660643618364</v>
      </c>
      <c r="AG3" s="1" t="s">
        <v>114</v>
      </c>
      <c r="AH3" s="6">
        <v>0.02</v>
      </c>
    </row>
    <row r="4" spans="1:74" x14ac:dyDescent="0.2">
      <c r="B4" s="1" t="s">
        <v>26</v>
      </c>
      <c r="C4" s="2">
        <f t="shared" ref="C4:K4" si="3">+C2-C3</f>
        <v>0</v>
      </c>
      <c r="D4" s="2">
        <f t="shared" si="3"/>
        <v>0</v>
      </c>
      <c r="E4" s="2">
        <f t="shared" si="3"/>
        <v>0</v>
      </c>
      <c r="F4" s="2">
        <f t="shared" si="3"/>
        <v>0</v>
      </c>
      <c r="G4" s="2">
        <f t="shared" si="3"/>
        <v>811.97899999999993</v>
      </c>
      <c r="H4" s="2">
        <f t="shared" si="3"/>
        <v>825.84700000000009</v>
      </c>
      <c r="I4" s="2">
        <f t="shared" si="3"/>
        <v>831.23399999999992</v>
      </c>
      <c r="J4" s="2">
        <f t="shared" si="3"/>
        <v>0</v>
      </c>
      <c r="K4" s="2">
        <f t="shared" si="3"/>
        <v>841.41700000000003</v>
      </c>
      <c r="L4" s="2">
        <f t="shared" ref="L4" si="4">+L2-L3</f>
        <v>872.11699999999996</v>
      </c>
      <c r="M4" s="2">
        <f t="shared" ref="M4" si="5">+M2-M3</f>
        <v>865.73900000000003</v>
      </c>
      <c r="N4" s="2">
        <f t="shared" ref="N4" si="6">+N2-N3</f>
        <v>0</v>
      </c>
      <c r="O4" s="2">
        <f>+O2-O3</f>
        <v>867.9319999999999</v>
      </c>
      <c r="P4" s="2">
        <f t="shared" ref="P4" si="7">+P2-P3</f>
        <v>877.43100000000004</v>
      </c>
      <c r="Q4" s="2"/>
      <c r="R4" s="2"/>
      <c r="U4" s="2">
        <f t="shared" ref="U4:AE4" si="8">+U2-U3</f>
        <v>507.262</v>
      </c>
      <c r="V4" s="2">
        <f t="shared" si="8"/>
        <v>1829.3789999999999</v>
      </c>
      <c r="W4" s="2">
        <f t="shared" si="8"/>
        <v>3045.3099999999995</v>
      </c>
      <c r="X4" s="2">
        <f t="shared" si="8"/>
        <v>3292.509</v>
      </c>
      <c r="Y4" s="2">
        <f t="shared" si="8"/>
        <v>3449.4230000000002</v>
      </c>
      <c r="Z4" s="2">
        <f t="shared" si="8"/>
        <v>3519.8261155199998</v>
      </c>
      <c r="AA4" s="2">
        <f t="shared" si="8"/>
        <v>3600.7821161769598</v>
      </c>
      <c r="AB4" s="2">
        <f t="shared" si="8"/>
        <v>3683.6001048490293</v>
      </c>
      <c r="AC4" s="2">
        <f t="shared" si="8"/>
        <v>3768.3229072605563</v>
      </c>
      <c r="AD4" s="2">
        <f t="shared" si="8"/>
        <v>3854.9943341275489</v>
      </c>
      <c r="AE4" s="2">
        <f t="shared" si="8"/>
        <v>3943.6592038124822</v>
      </c>
      <c r="AG4" s="1" t="s">
        <v>115</v>
      </c>
      <c r="AH4" s="6">
        <v>0.03</v>
      </c>
    </row>
    <row r="5" spans="1:74" x14ac:dyDescent="0.2">
      <c r="B5" s="1" t="s">
        <v>27</v>
      </c>
      <c r="C5" s="2"/>
      <c r="D5" s="2"/>
      <c r="E5" s="2"/>
      <c r="F5" s="2"/>
      <c r="G5" s="2">
        <v>144.291</v>
      </c>
      <c r="H5" s="2">
        <v>172.56399999999999</v>
      </c>
      <c r="I5" s="2">
        <v>195.946</v>
      </c>
      <c r="J5" s="2"/>
      <c r="K5" s="2">
        <v>209.27099999999999</v>
      </c>
      <c r="L5" s="2">
        <v>191.80199999999999</v>
      </c>
      <c r="M5" s="2">
        <v>196.83199999999999</v>
      </c>
      <c r="O5" s="2">
        <v>205.55799999999999</v>
      </c>
      <c r="P5" s="2">
        <v>206.756</v>
      </c>
      <c r="Q5" s="2"/>
      <c r="R5" s="2"/>
      <c r="U5" s="2">
        <v>67.078999999999994</v>
      </c>
      <c r="V5" s="2">
        <v>164.08</v>
      </c>
      <c r="W5" s="2">
        <v>362.99</v>
      </c>
      <c r="X5" s="2">
        <v>774.05899999999997</v>
      </c>
      <c r="Y5" s="2">
        <v>803.18700000000001</v>
      </c>
      <c r="Z5" s="2">
        <f>+Z2*0.17</f>
        <v>787.32952584000009</v>
      </c>
      <c r="AA5" s="2">
        <f>+AA2*0.16</f>
        <v>758.05939287935996</v>
      </c>
      <c r="AB5" s="2">
        <f>+AB2*0.155</f>
        <v>751.26054769947302</v>
      </c>
      <c r="AC5" s="2">
        <f t="shared" ref="AC5:AE5" si="9">+AC2*0.155</f>
        <v>768.53954029656086</v>
      </c>
      <c r="AD5" s="2">
        <f t="shared" si="9"/>
        <v>786.21594972338164</v>
      </c>
      <c r="AE5" s="2">
        <f t="shared" si="9"/>
        <v>804.29891656701943</v>
      </c>
      <c r="AG5" s="1" t="s">
        <v>116</v>
      </c>
      <c r="AH5" s="2">
        <f>+NPV(AH2,Z14:BV14)</f>
        <v>11989.242386899885</v>
      </c>
    </row>
    <row r="6" spans="1:74" x14ac:dyDescent="0.2">
      <c r="B6" s="1" t="s">
        <v>28</v>
      </c>
      <c r="C6" s="2"/>
      <c r="D6" s="2"/>
      <c r="E6" s="2"/>
      <c r="F6" s="2"/>
      <c r="G6" s="2">
        <v>362.78300000000002</v>
      </c>
      <c r="H6" s="2">
        <v>400.47399999999999</v>
      </c>
      <c r="I6" s="2">
        <v>427.74700000000001</v>
      </c>
      <c r="J6" s="2"/>
      <c r="K6" s="2">
        <v>422.50400000000002</v>
      </c>
      <c r="L6" s="2">
        <v>373.37299999999999</v>
      </c>
      <c r="M6" s="2">
        <v>374.37799999999999</v>
      </c>
      <c r="O6" s="2">
        <v>348.00799999999998</v>
      </c>
      <c r="P6" s="2">
        <v>358.77</v>
      </c>
      <c r="Q6" s="2"/>
      <c r="R6" s="2"/>
      <c r="U6" s="2">
        <v>340.64600000000002</v>
      </c>
      <c r="V6" s="2">
        <v>684.904</v>
      </c>
      <c r="W6" s="2">
        <v>1135.9590000000001</v>
      </c>
      <c r="X6" s="2">
        <v>1696.59</v>
      </c>
      <c r="Y6" s="2">
        <v>1541.307</v>
      </c>
      <c r="Z6" s="2">
        <f>+Y6*0.99</f>
        <v>1525.89393</v>
      </c>
      <c r="AA6" s="2">
        <f t="shared" ref="AA6:AE6" si="10">+Z6*1.03</f>
        <v>1571.6707478999999</v>
      </c>
      <c r="AB6" s="2">
        <f t="shared" si="10"/>
        <v>1618.8208703369999</v>
      </c>
      <c r="AC6" s="2">
        <f t="shared" si="10"/>
        <v>1667.38549644711</v>
      </c>
      <c r="AD6" s="2">
        <f t="shared" si="10"/>
        <v>1717.4070613405233</v>
      </c>
      <c r="AE6" s="2">
        <f t="shared" si="10"/>
        <v>1768.9292731807391</v>
      </c>
      <c r="AG6" s="1" t="s">
        <v>117</v>
      </c>
      <c r="AH6" s="2">
        <f>+Y68</f>
        <v>7371.7070000000003</v>
      </c>
    </row>
    <row r="7" spans="1:74" x14ac:dyDescent="0.2">
      <c r="B7" s="1" t="s">
        <v>29</v>
      </c>
      <c r="C7" s="2"/>
      <c r="D7" s="2"/>
      <c r="E7" s="2"/>
      <c r="F7" s="2"/>
      <c r="G7" s="2">
        <v>117.84</v>
      </c>
      <c r="H7" s="2">
        <v>131.066</v>
      </c>
      <c r="I7" s="2">
        <v>141.03299999999999</v>
      </c>
      <c r="J7" s="2"/>
      <c r="K7" s="2">
        <v>199.9</v>
      </c>
      <c r="L7" s="2">
        <v>129.32400000000001</v>
      </c>
      <c r="M7" s="2">
        <v>125.14</v>
      </c>
      <c r="O7" s="2">
        <v>111.34399999999999</v>
      </c>
      <c r="P7" s="2">
        <v>109.535</v>
      </c>
      <c r="Q7" s="2"/>
      <c r="R7" s="2"/>
      <c r="U7" s="2">
        <v>86.840999999999994</v>
      </c>
      <c r="V7" s="2">
        <v>320.54700000000003</v>
      </c>
      <c r="W7" s="2">
        <v>482.77</v>
      </c>
      <c r="X7" s="2">
        <v>576.43100000000004</v>
      </c>
      <c r="Y7" s="2">
        <v>579.65</v>
      </c>
      <c r="Z7" s="2">
        <f>+Y7*1.01</f>
        <v>585.44650000000001</v>
      </c>
      <c r="AA7" s="2">
        <f t="shared" ref="AA7:AE7" si="11">+Z7*1.01</f>
        <v>591.30096500000002</v>
      </c>
      <c r="AB7" s="2">
        <f t="shared" si="11"/>
        <v>597.21397465000007</v>
      </c>
      <c r="AC7" s="2">
        <f t="shared" si="11"/>
        <v>603.1861143965001</v>
      </c>
      <c r="AD7" s="2">
        <f t="shared" si="11"/>
        <v>609.21797554046509</v>
      </c>
      <c r="AE7" s="2">
        <f t="shared" si="11"/>
        <v>615.31015529586978</v>
      </c>
      <c r="AG7" s="1" t="s">
        <v>118</v>
      </c>
      <c r="AH7" s="2">
        <f>+AH5+AH6</f>
        <v>19360.949386899883</v>
      </c>
    </row>
    <row r="8" spans="1:74" x14ac:dyDescent="0.2">
      <c r="B8" s="1" t="s">
        <v>30</v>
      </c>
      <c r="C8" s="2">
        <f t="shared" ref="C8:K8" si="12">+C5+C6+C7</f>
        <v>0</v>
      </c>
      <c r="D8" s="2">
        <f t="shared" si="12"/>
        <v>0</v>
      </c>
      <c r="E8" s="2">
        <f t="shared" si="12"/>
        <v>0</v>
      </c>
      <c r="F8" s="2">
        <f t="shared" si="12"/>
        <v>0</v>
      </c>
      <c r="G8" s="2">
        <f t="shared" si="12"/>
        <v>624.91399999999999</v>
      </c>
      <c r="H8" s="2">
        <f t="shared" si="12"/>
        <v>704.10400000000004</v>
      </c>
      <c r="I8" s="2">
        <f t="shared" si="12"/>
        <v>764.726</v>
      </c>
      <c r="J8" s="2">
        <f t="shared" si="12"/>
        <v>0</v>
      </c>
      <c r="K8" s="2">
        <f t="shared" si="12"/>
        <v>831.67499999999995</v>
      </c>
      <c r="L8" s="2">
        <f t="shared" ref="L8" si="13">+L5+L6+L7</f>
        <v>694.49900000000002</v>
      </c>
      <c r="M8" s="2">
        <f>+M5+M6+M7</f>
        <v>696.35</v>
      </c>
      <c r="N8" s="2">
        <f t="shared" ref="N8" si="14">+N5+N6+N7</f>
        <v>0</v>
      </c>
      <c r="O8" s="2">
        <f>+O5+O6+O7</f>
        <v>664.91000000000008</v>
      </c>
      <c r="P8" s="2">
        <f t="shared" ref="P8" si="15">+P5+P6+P7</f>
        <v>675.06099999999992</v>
      </c>
      <c r="Q8" s="2"/>
      <c r="R8" s="2"/>
      <c r="U8" s="2">
        <f t="shared" ref="U8:AE8" si="16">+U5+U6+U7</f>
        <v>494.56600000000003</v>
      </c>
      <c r="V8" s="2">
        <f t="shared" si="16"/>
        <v>1169.5309999999999</v>
      </c>
      <c r="W8" s="2">
        <f t="shared" si="16"/>
        <v>1981.7190000000001</v>
      </c>
      <c r="X8" s="2">
        <f t="shared" si="16"/>
        <v>3047.08</v>
      </c>
      <c r="Y8" s="2">
        <f>+Y5+Y6+Y7</f>
        <v>2924.1440000000002</v>
      </c>
      <c r="Z8" s="2">
        <f t="shared" si="16"/>
        <v>2898.6699558400001</v>
      </c>
      <c r="AA8" s="2">
        <f t="shared" si="16"/>
        <v>2921.0311057793597</v>
      </c>
      <c r="AB8" s="2">
        <f t="shared" si="16"/>
        <v>2967.295392686473</v>
      </c>
      <c r="AC8" s="2">
        <f t="shared" si="16"/>
        <v>3039.1111511401709</v>
      </c>
      <c r="AD8" s="2">
        <f t="shared" si="16"/>
        <v>3112.8409866043698</v>
      </c>
      <c r="AE8" s="2">
        <f t="shared" si="16"/>
        <v>3188.5383450436284</v>
      </c>
      <c r="AH8" s="5">
        <f>+AH7/main!B3</f>
        <v>62.600669896818864</v>
      </c>
    </row>
    <row r="9" spans="1:74" x14ac:dyDescent="0.2">
      <c r="B9" s="1" t="s">
        <v>31</v>
      </c>
      <c r="C9" s="2">
        <f t="shared" ref="C9:K9" si="17">+C4-C8</f>
        <v>0</v>
      </c>
      <c r="D9" s="2">
        <f t="shared" si="17"/>
        <v>0</v>
      </c>
      <c r="E9" s="2">
        <f t="shared" si="17"/>
        <v>0</v>
      </c>
      <c r="F9" s="2">
        <f t="shared" si="17"/>
        <v>0</v>
      </c>
      <c r="G9" s="2">
        <f t="shared" si="17"/>
        <v>187.06499999999994</v>
      </c>
      <c r="H9" s="2">
        <f t="shared" si="17"/>
        <v>121.74300000000005</v>
      </c>
      <c r="I9" s="2">
        <f t="shared" si="17"/>
        <v>66.507999999999925</v>
      </c>
      <c r="J9" s="2">
        <f t="shared" si="17"/>
        <v>0</v>
      </c>
      <c r="K9" s="2">
        <f t="shared" si="17"/>
        <v>9.7420000000000755</v>
      </c>
      <c r="L9" s="2">
        <f t="shared" ref="L9" si="18">+L4-L8</f>
        <v>177.61799999999994</v>
      </c>
      <c r="M9" s="2">
        <f t="shared" ref="M9" si="19">+M4-M8</f>
        <v>169.38900000000001</v>
      </c>
      <c r="N9" s="2">
        <f t="shared" ref="N9" si="20">+N4-N8</f>
        <v>0</v>
      </c>
      <c r="O9" s="2">
        <f>+O4-O8</f>
        <v>203.02199999999982</v>
      </c>
      <c r="P9" s="2">
        <f t="shared" ref="P9" si="21">+P4-P8</f>
        <v>202.37000000000012</v>
      </c>
      <c r="Q9" s="2"/>
      <c r="R9" s="2"/>
      <c r="U9" s="2">
        <f t="shared" ref="U9:AE9" si="22">+U4-U8</f>
        <v>12.69599999999997</v>
      </c>
      <c r="V9" s="2">
        <f t="shared" si="22"/>
        <v>659.84799999999996</v>
      </c>
      <c r="W9" s="2">
        <f t="shared" si="22"/>
        <v>1063.5909999999994</v>
      </c>
      <c r="X9" s="2">
        <f t="shared" si="22"/>
        <v>245.42900000000009</v>
      </c>
      <c r="Y9" s="2">
        <f t="shared" si="22"/>
        <v>525.279</v>
      </c>
      <c r="Z9" s="2">
        <f t="shared" si="22"/>
        <v>621.15615967999975</v>
      </c>
      <c r="AA9" s="2">
        <f t="shared" si="22"/>
        <v>679.75101039760011</v>
      </c>
      <c r="AB9" s="2">
        <f t="shared" si="22"/>
        <v>716.30471216255637</v>
      </c>
      <c r="AC9" s="2">
        <f t="shared" si="22"/>
        <v>729.21175612038542</v>
      </c>
      <c r="AD9" s="2">
        <f t="shared" si="22"/>
        <v>742.15334752317904</v>
      </c>
      <c r="AE9" s="2">
        <f t="shared" si="22"/>
        <v>755.12085876885385</v>
      </c>
    </row>
    <row r="10" spans="1:74" x14ac:dyDescent="0.2">
      <c r="B10" s="1" t="s">
        <v>32</v>
      </c>
      <c r="C10" s="2"/>
      <c r="D10" s="2"/>
      <c r="E10" s="2"/>
      <c r="F10" s="2"/>
      <c r="G10" s="2">
        <v>-36.404000000000003</v>
      </c>
      <c r="H10" s="2">
        <v>-34.712000000000003</v>
      </c>
      <c r="I10" s="2">
        <v>-6.8979999999999997</v>
      </c>
      <c r="J10" s="2"/>
      <c r="K10" s="2">
        <v>2.2749999999999999</v>
      </c>
      <c r="L10" s="2">
        <v>31.67</v>
      </c>
      <c r="M10" s="2">
        <v>-25.471</v>
      </c>
      <c r="N10" s="2"/>
      <c r="O10" s="2">
        <v>17.353999999999999</v>
      </c>
      <c r="P10" s="2">
        <v>3.1070000000000002</v>
      </c>
      <c r="Q10" s="2"/>
      <c r="R10" s="2"/>
      <c r="U10" s="2">
        <v>13.666</v>
      </c>
      <c r="V10" s="2">
        <v>18.186</v>
      </c>
      <c r="W10" s="2">
        <v>43.761000000000003</v>
      </c>
      <c r="X10" s="2">
        <v>-37.570999999999998</v>
      </c>
      <c r="Y10" s="2">
        <v>109.77</v>
      </c>
      <c r="Z10" s="2"/>
      <c r="AA10" s="2"/>
      <c r="AB10" s="2"/>
      <c r="AC10" s="2"/>
      <c r="AD10" s="2"/>
      <c r="AE10" s="2"/>
    </row>
    <row r="11" spans="1:74" x14ac:dyDescent="0.2">
      <c r="B11" s="1" t="s">
        <v>33</v>
      </c>
      <c r="C11" s="2"/>
      <c r="D11" s="2"/>
      <c r="E11" s="2"/>
      <c r="F11" s="2"/>
      <c r="G11" s="2">
        <v>-6.9889999999999999</v>
      </c>
      <c r="H11" s="2">
        <v>3.3679999999999999</v>
      </c>
      <c r="I11" s="2">
        <v>-4.8609999999999998</v>
      </c>
      <c r="J11" s="2"/>
      <c r="K11" s="2">
        <v>31.213000000000001</v>
      </c>
      <c r="L11" s="2">
        <v>41.085000000000001</v>
      </c>
      <c r="M11" s="2">
        <v>41.908000000000001</v>
      </c>
      <c r="N11" s="2"/>
      <c r="O11" s="2">
        <v>71.587999999999994</v>
      </c>
      <c r="P11" s="2">
        <v>87.412000000000006</v>
      </c>
      <c r="Q11" s="2"/>
      <c r="R11" s="2"/>
      <c r="U11" s="2">
        <v>0</v>
      </c>
      <c r="V11" s="2">
        <v>0</v>
      </c>
      <c r="W11" s="2">
        <v>-5.72</v>
      </c>
      <c r="X11" s="2">
        <v>41.417999999999999</v>
      </c>
      <c r="Y11" s="2">
        <v>197.26300000000001</v>
      </c>
      <c r="Z11" s="2">
        <f>+Y68*$AH$4</f>
        <v>221.15120999999999</v>
      </c>
      <c r="AA11" s="2">
        <f t="shared" ref="AA11:AE11" si="23">+Z68*$AH$4</f>
        <v>241.113894661416</v>
      </c>
      <c r="AB11" s="2">
        <f t="shared" si="23"/>
        <v>262.93839291131468</v>
      </c>
      <c r="AC11" s="2">
        <f t="shared" si="23"/>
        <v>286.14645450156542</v>
      </c>
      <c r="AD11" s="2">
        <f t="shared" si="23"/>
        <v>310.21044409330568</v>
      </c>
      <c r="AE11" s="2">
        <f t="shared" si="23"/>
        <v>335.15146595461636</v>
      </c>
    </row>
    <row r="12" spans="1:74" x14ac:dyDescent="0.2">
      <c r="B12" s="1" t="s">
        <v>34</v>
      </c>
      <c r="C12" s="2">
        <f t="shared" ref="C12:N12" si="24">+C9+C10+C11</f>
        <v>0</v>
      </c>
      <c r="D12" s="2">
        <f t="shared" si="24"/>
        <v>0</v>
      </c>
      <c r="E12" s="2">
        <f t="shared" si="24"/>
        <v>0</v>
      </c>
      <c r="F12" s="2">
        <f t="shared" si="24"/>
        <v>0</v>
      </c>
      <c r="G12" s="2">
        <f t="shared" si="24"/>
        <v>143.67199999999994</v>
      </c>
      <c r="H12" s="2">
        <f t="shared" si="24"/>
        <v>90.399000000000044</v>
      </c>
      <c r="I12" s="2">
        <f t="shared" si="24"/>
        <v>54.748999999999931</v>
      </c>
      <c r="J12" s="2">
        <f t="shared" si="24"/>
        <v>0</v>
      </c>
      <c r="K12" s="2">
        <f t="shared" si="24"/>
        <v>43.230000000000075</v>
      </c>
      <c r="L12" s="2">
        <f t="shared" si="24"/>
        <v>250.37299999999996</v>
      </c>
      <c r="M12" s="2">
        <f>+M9+M10+M11</f>
        <v>185.82600000000002</v>
      </c>
      <c r="N12" s="2">
        <f t="shared" si="24"/>
        <v>0</v>
      </c>
      <c r="O12" s="2">
        <f>+O9+O10+O11</f>
        <v>291.96399999999983</v>
      </c>
      <c r="P12" s="2">
        <f t="shared" ref="P12" si="25">+P9+P10+P11</f>
        <v>292.88900000000012</v>
      </c>
      <c r="Q12" s="2"/>
      <c r="R12" s="2"/>
      <c r="U12" s="2">
        <f t="shared" ref="U12:AE12" si="26">+U9+U10+U11</f>
        <v>26.36199999999997</v>
      </c>
      <c r="V12" s="2">
        <f t="shared" si="26"/>
        <v>678.03399999999999</v>
      </c>
      <c r="W12" s="2">
        <f t="shared" si="26"/>
        <v>1101.6319999999994</v>
      </c>
      <c r="X12" s="2">
        <f t="shared" si="26"/>
        <v>249.2760000000001</v>
      </c>
      <c r="Y12" s="2">
        <f t="shared" si="26"/>
        <v>832.31200000000001</v>
      </c>
      <c r="Z12" s="2">
        <f t="shared" si="26"/>
        <v>842.30736967999974</v>
      </c>
      <c r="AA12" s="2">
        <f t="shared" si="26"/>
        <v>920.86490505901611</v>
      </c>
      <c r="AB12" s="2">
        <f t="shared" si="26"/>
        <v>979.24310507387099</v>
      </c>
      <c r="AC12" s="2">
        <f t="shared" si="26"/>
        <v>1015.3582106219508</v>
      </c>
      <c r="AD12" s="2">
        <f t="shared" si="26"/>
        <v>1052.3637916164848</v>
      </c>
      <c r="AE12" s="2">
        <f t="shared" si="26"/>
        <v>1090.2723247234703</v>
      </c>
    </row>
    <row r="13" spans="1:74" x14ac:dyDescent="0.2">
      <c r="B13" s="1" t="s">
        <v>35</v>
      </c>
      <c r="C13" s="2"/>
      <c r="D13" s="2"/>
      <c r="E13" s="2"/>
      <c r="F13" s="2"/>
      <c r="G13" s="2">
        <v>30.013999999999999</v>
      </c>
      <c r="H13" s="2">
        <v>44.649000000000001</v>
      </c>
      <c r="I13" s="2">
        <v>6.3959999999999999</v>
      </c>
      <c r="J13" s="2"/>
      <c r="K13" s="2">
        <v>27.786000000000001</v>
      </c>
      <c r="L13" s="2">
        <v>68.399000000000001</v>
      </c>
      <c r="M13" s="2">
        <v>44.613999999999997</v>
      </c>
      <c r="N13" s="2"/>
      <c r="O13" s="2">
        <v>75.656000000000006</v>
      </c>
      <c r="P13" s="2">
        <v>73.873999999999995</v>
      </c>
      <c r="Q13" s="2"/>
      <c r="R13" s="2"/>
      <c r="U13" s="2">
        <v>1.0569999999999999</v>
      </c>
      <c r="V13" s="2">
        <v>5.718</v>
      </c>
      <c r="W13" s="2">
        <v>-274.00200000000001</v>
      </c>
      <c r="X13" s="2">
        <v>145.565</v>
      </c>
      <c r="Y13" s="2">
        <v>194.85</v>
      </c>
      <c r="Z13" s="2">
        <f>+Z12*0.21</f>
        <v>176.88454763279995</v>
      </c>
      <c r="AA13" s="2">
        <f t="shared" ref="AA13:AE13" si="27">+AA12*0.21</f>
        <v>193.38163006239338</v>
      </c>
      <c r="AB13" s="2">
        <f t="shared" si="27"/>
        <v>205.64105206551289</v>
      </c>
      <c r="AC13" s="2">
        <f t="shared" si="27"/>
        <v>213.22522423060965</v>
      </c>
      <c r="AD13" s="2">
        <f t="shared" si="27"/>
        <v>220.9963962394618</v>
      </c>
      <c r="AE13" s="2">
        <f t="shared" si="27"/>
        <v>228.95718819192876</v>
      </c>
    </row>
    <row r="14" spans="1:74" x14ac:dyDescent="0.2">
      <c r="B14" s="1" t="s">
        <v>36</v>
      </c>
      <c r="C14" s="2">
        <f t="shared" ref="C14:N14" si="28">+C12-C13</f>
        <v>0</v>
      </c>
      <c r="D14" s="2">
        <f t="shared" si="28"/>
        <v>0</v>
      </c>
      <c r="E14" s="2">
        <f t="shared" si="28"/>
        <v>0</v>
      </c>
      <c r="F14" s="2">
        <f t="shared" si="28"/>
        <v>0</v>
      </c>
      <c r="G14" s="2">
        <f t="shared" si="28"/>
        <v>113.65799999999994</v>
      </c>
      <c r="H14" s="2">
        <f t="shared" si="28"/>
        <v>45.750000000000043</v>
      </c>
      <c r="I14" s="2">
        <f t="shared" si="28"/>
        <v>48.35299999999993</v>
      </c>
      <c r="J14" s="2">
        <f t="shared" si="28"/>
        <v>0</v>
      </c>
      <c r="K14" s="2">
        <f t="shared" si="28"/>
        <v>15.444000000000074</v>
      </c>
      <c r="L14" s="2">
        <f t="shared" si="28"/>
        <v>181.97399999999996</v>
      </c>
      <c r="M14" s="2">
        <f t="shared" si="28"/>
        <v>141.21200000000002</v>
      </c>
      <c r="N14" s="2">
        <f t="shared" si="28"/>
        <v>0</v>
      </c>
      <c r="O14" s="2">
        <f>+O12-O13</f>
        <v>216.30799999999982</v>
      </c>
      <c r="P14" s="2">
        <f t="shared" ref="P14" si="29">+P12-P13</f>
        <v>219.01500000000013</v>
      </c>
      <c r="Q14" s="2"/>
      <c r="R14" s="2"/>
      <c r="U14" s="2">
        <f t="shared" ref="U14:AE14" si="30">+U12-U13</f>
        <v>25.304999999999971</v>
      </c>
      <c r="V14" s="2">
        <f t="shared" si="30"/>
        <v>672.31600000000003</v>
      </c>
      <c r="W14" s="2">
        <f t="shared" si="30"/>
        <v>1375.6339999999993</v>
      </c>
      <c r="X14" s="2">
        <f t="shared" si="30"/>
        <v>103.7110000000001</v>
      </c>
      <c r="Y14" s="2">
        <f t="shared" si="30"/>
        <v>637.46199999999999</v>
      </c>
      <c r="Z14" s="2">
        <f t="shared" si="30"/>
        <v>665.42282204719982</v>
      </c>
      <c r="AA14" s="2">
        <f t="shared" si="30"/>
        <v>727.48327499662275</v>
      </c>
      <c r="AB14" s="2">
        <f t="shared" si="30"/>
        <v>773.6020530083581</v>
      </c>
      <c r="AC14" s="2">
        <f t="shared" si="30"/>
        <v>802.13298639134109</v>
      </c>
      <c r="AD14" s="2">
        <f t="shared" si="30"/>
        <v>831.36739537702306</v>
      </c>
      <c r="AE14" s="2">
        <f t="shared" si="30"/>
        <v>861.31513653154161</v>
      </c>
      <c r="AF14" s="2">
        <f>+AE14*(1+$AH$3)</f>
        <v>878.5414392621725</v>
      </c>
      <c r="AG14" s="2">
        <f t="shared" ref="AG14:BV14" si="31">+AF14*(1+$AH$3)</f>
        <v>896.11226804741602</v>
      </c>
      <c r="AH14" s="2">
        <f t="shared" si="31"/>
        <v>914.03451340836432</v>
      </c>
      <c r="AI14" s="2">
        <f t="shared" si="31"/>
        <v>932.31520367653161</v>
      </c>
      <c r="AJ14" s="2">
        <f t="shared" si="31"/>
        <v>950.96150775006231</v>
      </c>
      <c r="AK14" s="2">
        <f t="shared" si="31"/>
        <v>969.98073790506362</v>
      </c>
      <c r="AL14" s="2">
        <f t="shared" si="31"/>
        <v>989.3803526631649</v>
      </c>
      <c r="AM14" s="2">
        <f t="shared" si="31"/>
        <v>1009.1679597164282</v>
      </c>
      <c r="AN14" s="2">
        <f t="shared" si="31"/>
        <v>1029.3513189107568</v>
      </c>
      <c r="AO14" s="2">
        <f t="shared" si="31"/>
        <v>1049.938345288972</v>
      </c>
      <c r="AP14" s="2">
        <f t="shared" si="31"/>
        <v>1070.9371121947513</v>
      </c>
      <c r="AQ14" s="2">
        <f t="shared" si="31"/>
        <v>1092.3558544386462</v>
      </c>
      <c r="AR14" s="2">
        <f t="shared" si="31"/>
        <v>1114.2029715274191</v>
      </c>
      <c r="AS14" s="2">
        <f t="shared" si="31"/>
        <v>1136.4870309579676</v>
      </c>
      <c r="AT14" s="2">
        <f t="shared" si="31"/>
        <v>1159.216771577127</v>
      </c>
      <c r="AU14" s="2">
        <f t="shared" si="31"/>
        <v>1182.4011070086697</v>
      </c>
      <c r="AV14" s="2">
        <f t="shared" si="31"/>
        <v>1206.0491291488431</v>
      </c>
      <c r="AW14" s="2">
        <f t="shared" si="31"/>
        <v>1230.17011173182</v>
      </c>
      <c r="AX14" s="2">
        <f t="shared" si="31"/>
        <v>1254.7735139664564</v>
      </c>
      <c r="AY14" s="2">
        <f t="shared" si="31"/>
        <v>1279.8689842457857</v>
      </c>
      <c r="AZ14" s="2">
        <f t="shared" si="31"/>
        <v>1305.4663639307014</v>
      </c>
      <c r="BA14" s="2">
        <f t="shared" si="31"/>
        <v>1331.5756912093154</v>
      </c>
      <c r="BB14" s="2">
        <f t="shared" si="31"/>
        <v>1358.2072050335019</v>
      </c>
      <c r="BC14" s="2">
        <f t="shared" si="31"/>
        <v>1385.3713491341719</v>
      </c>
      <c r="BD14" s="2">
        <f t="shared" si="31"/>
        <v>1413.0787761168554</v>
      </c>
      <c r="BE14" s="2">
        <f t="shared" si="31"/>
        <v>1441.3403516391925</v>
      </c>
      <c r="BF14" s="2">
        <f t="shared" si="31"/>
        <v>1470.1671586719763</v>
      </c>
      <c r="BG14" s="2">
        <f t="shared" si="31"/>
        <v>1499.5705018454157</v>
      </c>
      <c r="BH14" s="2">
        <f t="shared" si="31"/>
        <v>1529.561911882324</v>
      </c>
      <c r="BI14" s="2">
        <f t="shared" si="31"/>
        <v>1560.1531501199704</v>
      </c>
      <c r="BJ14" s="2">
        <f t="shared" si="31"/>
        <v>1591.3562131223698</v>
      </c>
      <c r="BK14" s="2">
        <f t="shared" si="31"/>
        <v>1623.1833373848172</v>
      </c>
      <c r="BL14" s="2">
        <f t="shared" si="31"/>
        <v>1655.6470041325135</v>
      </c>
      <c r="BM14" s="2">
        <f t="shared" si="31"/>
        <v>1688.7599442151638</v>
      </c>
      <c r="BN14" s="2">
        <f t="shared" si="31"/>
        <v>1722.5351430994672</v>
      </c>
      <c r="BO14" s="2">
        <f t="shared" si="31"/>
        <v>1756.9858459614566</v>
      </c>
      <c r="BP14" s="2">
        <f t="shared" si="31"/>
        <v>1792.1255628806857</v>
      </c>
      <c r="BQ14" s="2">
        <f t="shared" si="31"/>
        <v>1827.9680741382995</v>
      </c>
      <c r="BR14" s="2">
        <f t="shared" si="31"/>
        <v>1864.5274356210655</v>
      </c>
      <c r="BS14" s="2">
        <f t="shared" si="31"/>
        <v>1901.8179843334867</v>
      </c>
      <c r="BT14" s="2">
        <f t="shared" si="31"/>
        <v>1939.8543440201565</v>
      </c>
      <c r="BU14" s="2">
        <f t="shared" si="31"/>
        <v>1978.6514309005597</v>
      </c>
      <c r="BV14" s="2">
        <f t="shared" si="31"/>
        <v>2018.2244595185709</v>
      </c>
    </row>
    <row r="15" spans="1:74" x14ac:dyDescent="0.2">
      <c r="B15" s="1" t="s">
        <v>37</v>
      </c>
      <c r="G15" s="1">
        <v>306.61421999999999</v>
      </c>
      <c r="H15" s="1">
        <v>307.16000000000003</v>
      </c>
      <c r="I15" s="1">
        <v>301.98634099999998</v>
      </c>
      <c r="K15" s="1">
        <v>304.11591299999998</v>
      </c>
      <c r="L15" s="1">
        <v>305.93200000000002</v>
      </c>
      <c r="M15" s="1">
        <v>310.389905</v>
      </c>
      <c r="O15" s="1">
        <v>315.36</v>
      </c>
      <c r="P15" s="1">
        <v>314.02699999999999</v>
      </c>
      <c r="U15" s="1">
        <v>254.29801399999999</v>
      </c>
      <c r="V15" s="1">
        <v>298.12766900000003</v>
      </c>
      <c r="W15" s="1">
        <v>305.826505</v>
      </c>
      <c r="X15" s="1">
        <v>304.23135000000002</v>
      </c>
      <c r="Y15" s="1">
        <v>308.51989700000001</v>
      </c>
    </row>
    <row r="16" spans="1:74" x14ac:dyDescent="0.2">
      <c r="B16" s="1" t="s">
        <v>38</v>
      </c>
      <c r="C16" s="5" t="e">
        <f t="shared" ref="C16:N16" si="32">+C14/C15</f>
        <v>#DIV/0!</v>
      </c>
      <c r="D16" s="5" t="e">
        <f t="shared" si="32"/>
        <v>#DIV/0!</v>
      </c>
      <c r="E16" s="5" t="e">
        <f t="shared" si="32"/>
        <v>#DIV/0!</v>
      </c>
      <c r="F16" s="5" t="e">
        <f t="shared" si="32"/>
        <v>#DIV/0!</v>
      </c>
      <c r="G16" s="5">
        <f t="shared" si="32"/>
        <v>0.37068730863167387</v>
      </c>
      <c r="H16" s="5">
        <f t="shared" si="32"/>
        <v>0.14894517515301484</v>
      </c>
      <c r="I16" s="5">
        <f t="shared" si="32"/>
        <v>0.1601165133491913</v>
      </c>
      <c r="J16" s="5" t="e">
        <f t="shared" si="32"/>
        <v>#DIV/0!</v>
      </c>
      <c r="K16" s="5">
        <f t="shared" si="32"/>
        <v>5.0783268286260556E-2</v>
      </c>
      <c r="L16" s="5">
        <f t="shared" si="32"/>
        <v>0.59481845638900133</v>
      </c>
      <c r="M16" s="5">
        <f t="shared" si="32"/>
        <v>0.45495036315694615</v>
      </c>
      <c r="N16" s="5" t="e">
        <f t="shared" si="32"/>
        <v>#DIV/0!</v>
      </c>
      <c r="O16" s="5">
        <f>+O14/O15</f>
        <v>0.68590816844241442</v>
      </c>
      <c r="P16" s="5">
        <f t="shared" ref="P16" si="33">+P14/P15</f>
        <v>0.69744002904208913</v>
      </c>
      <c r="U16" s="5">
        <f t="shared" ref="U16:AE16" si="34">+U14/U15</f>
        <v>9.9509231715824459E-2</v>
      </c>
      <c r="V16" s="5">
        <f t="shared" si="34"/>
        <v>2.2551278190820994</v>
      </c>
      <c r="W16" s="5">
        <f t="shared" si="34"/>
        <v>4.4980862597242819</v>
      </c>
      <c r="X16" s="5">
        <f t="shared" si="34"/>
        <v>0.34089517730503477</v>
      </c>
      <c r="Y16" s="5">
        <f t="shared" si="34"/>
        <v>2.0661941294502637</v>
      </c>
      <c r="Z16" s="5" t="e">
        <f t="shared" si="34"/>
        <v>#DIV/0!</v>
      </c>
      <c r="AA16" s="5" t="e">
        <f t="shared" si="34"/>
        <v>#DIV/0!</v>
      </c>
      <c r="AB16" s="5" t="e">
        <f t="shared" si="34"/>
        <v>#DIV/0!</v>
      </c>
      <c r="AC16" s="5" t="e">
        <f t="shared" si="34"/>
        <v>#DIV/0!</v>
      </c>
      <c r="AD16" s="5" t="e">
        <f t="shared" si="34"/>
        <v>#DIV/0!</v>
      </c>
      <c r="AE16" s="5" t="e">
        <f t="shared" si="34"/>
        <v>#DIV/0!</v>
      </c>
    </row>
    <row r="18" spans="2:31" x14ac:dyDescent="0.2">
      <c r="B18" s="1" t="s">
        <v>40</v>
      </c>
      <c r="C18" s="9"/>
      <c r="D18" s="9"/>
      <c r="E18" s="9"/>
      <c r="F18" s="9"/>
      <c r="G18" s="9"/>
      <c r="H18" s="9"/>
      <c r="I18" s="9"/>
      <c r="J18" s="9"/>
      <c r="K18" s="9">
        <f t="shared" ref="K18" si="35">+K2/G2-1</f>
        <v>2.9394673123486648E-2</v>
      </c>
      <c r="L18" s="9">
        <f t="shared" ref="L18" si="36">+L2/H2-1</f>
        <v>3.5670303003843662E-2</v>
      </c>
      <c r="M18" s="9">
        <f t="shared" ref="M18" si="37">+M2/I2-1</f>
        <v>3.1607252570335476E-2</v>
      </c>
      <c r="N18" s="9"/>
      <c r="O18" s="9">
        <f>+O2/K2-1</f>
        <v>3.2450848770178675E-2</v>
      </c>
      <c r="P18" s="9">
        <f t="shared" ref="P18" si="38">+P2/L2-1</f>
        <v>2.0940109390204187E-2</v>
      </c>
      <c r="U18" s="6"/>
      <c r="V18" s="6">
        <f t="shared" ref="V18:W18" si="39">+V2/U2-1</f>
        <v>3.2581449206466466</v>
      </c>
      <c r="W18" s="6">
        <f t="shared" si="39"/>
        <v>0.54632023921236117</v>
      </c>
      <c r="X18" s="6">
        <f t="shared" ref="X18" si="40">+X2/W2-1</f>
        <v>7.1489200617386395E-2</v>
      </c>
      <c r="Y18" s="6">
        <f>+Y2/X2-1</f>
        <v>3.0563446969696928E-2</v>
      </c>
      <c r="Z18" s="6">
        <f t="shared" ref="Z18:AE18" si="41">+Z2/Y2-1</f>
        <v>2.2999999999999909E-2</v>
      </c>
      <c r="AA18" s="6">
        <f t="shared" si="41"/>
        <v>2.2999999999999909E-2</v>
      </c>
      <c r="AB18" s="6">
        <f t="shared" si="41"/>
        <v>2.2999999999999909E-2</v>
      </c>
      <c r="AC18" s="6">
        <f t="shared" si="41"/>
        <v>2.2999999999999909E-2</v>
      </c>
      <c r="AD18" s="6">
        <f t="shared" si="41"/>
        <v>2.2999999999999909E-2</v>
      </c>
      <c r="AE18" s="6">
        <f t="shared" si="41"/>
        <v>2.2999999999999909E-2</v>
      </c>
    </row>
    <row r="20" spans="2:31" x14ac:dyDescent="0.2">
      <c r="B20" s="1" t="s">
        <v>90</v>
      </c>
      <c r="C20" s="6"/>
      <c r="D20" s="6"/>
      <c r="E20" s="6"/>
      <c r="F20" s="6"/>
      <c r="G20" s="6"/>
      <c r="H20" s="6"/>
      <c r="I20" s="6"/>
      <c r="J20" s="6"/>
      <c r="K20" s="6"/>
      <c r="L20" s="6">
        <f t="shared" ref="L20:L22" si="42">+L5/H5-1</f>
        <v>0.11148327577014894</v>
      </c>
      <c r="M20" s="6">
        <f t="shared" ref="M20:M22" si="43">+M5/I5-1</f>
        <v>4.5216539250609866E-3</v>
      </c>
      <c r="N20" s="6"/>
      <c r="O20" s="6">
        <f>+O5/K5-1</f>
        <v>-1.7742544356360912E-2</v>
      </c>
      <c r="P20" s="6">
        <f t="shared" ref="P20:P22" si="44">+P5/L5-1</f>
        <v>7.7965818917425267E-2</v>
      </c>
      <c r="U20" s="6"/>
      <c r="V20" s="6">
        <f t="shared" ref="V20:W20" si="45">+V5/U5-1</f>
        <v>1.4460710505523342</v>
      </c>
      <c r="W20" s="6">
        <f t="shared" si="45"/>
        <v>1.2122745002437836</v>
      </c>
      <c r="X20" s="6">
        <f t="shared" ref="X20" si="46">+X5/W5-1</f>
        <v>1.1324526846469598</v>
      </c>
      <c r="Y20" s="6">
        <f>+Y5/X5-1</f>
        <v>3.7630206482968331E-2</v>
      </c>
      <c r="Z20" s="6">
        <f t="shared" ref="Z20:AE22" si="47">+Z5/Y5-1</f>
        <v>-1.9743190763794605E-2</v>
      </c>
      <c r="AA20" s="6">
        <f t="shared" si="47"/>
        <v>-3.7176470588235477E-2</v>
      </c>
      <c r="AB20" s="6">
        <f t="shared" si="47"/>
        <v>-8.9687500000001918E-3</v>
      </c>
      <c r="AC20" s="6">
        <f t="shared" si="47"/>
        <v>2.2999999999999909E-2</v>
      </c>
      <c r="AD20" s="6">
        <f t="shared" si="47"/>
        <v>2.2999999999999909E-2</v>
      </c>
      <c r="AE20" s="6">
        <f t="shared" si="47"/>
        <v>2.2999999999999909E-2</v>
      </c>
    </row>
    <row r="21" spans="2:31" x14ac:dyDescent="0.2">
      <c r="B21" s="1" t="s">
        <v>91</v>
      </c>
      <c r="C21" s="6"/>
      <c r="D21" s="6"/>
      <c r="E21" s="6"/>
      <c r="F21" s="6"/>
      <c r="G21" s="6"/>
      <c r="H21" s="6"/>
      <c r="I21" s="6"/>
      <c r="J21" s="6"/>
      <c r="K21" s="6"/>
      <c r="L21" s="6">
        <f t="shared" si="42"/>
        <v>-6.7672308314647101E-2</v>
      </c>
      <c r="M21" s="6">
        <f t="shared" si="43"/>
        <v>-0.12476767809008604</v>
      </c>
      <c r="N21" s="6"/>
      <c r="O21" s="6">
        <f t="shared" ref="O21:O22" si="48">+O6/K6-1</f>
        <v>-0.1763202241872267</v>
      </c>
      <c r="P21" s="6">
        <f t="shared" si="44"/>
        <v>-3.9111023025232172E-2</v>
      </c>
      <c r="U21" s="6"/>
      <c r="V21" s="6">
        <f t="shared" ref="V21:W21" si="49">+V6/U6-1</f>
        <v>1.0106033829840948</v>
      </c>
      <c r="W21" s="6">
        <f t="shared" si="49"/>
        <v>0.65856674804060145</v>
      </c>
      <c r="X21" s="6">
        <f t="shared" ref="X21:Y21" si="50">+X6/W6-1</f>
        <v>0.49353101652436382</v>
      </c>
      <c r="Y21" s="6">
        <f t="shared" si="50"/>
        <v>-9.1526532633105173E-2</v>
      </c>
      <c r="Z21" s="6">
        <f t="shared" si="47"/>
        <v>-1.0000000000000009E-2</v>
      </c>
      <c r="AA21" s="6">
        <f t="shared" si="47"/>
        <v>3.0000000000000027E-2</v>
      </c>
      <c r="AB21" s="6">
        <f t="shared" si="47"/>
        <v>3.0000000000000027E-2</v>
      </c>
      <c r="AC21" s="6">
        <f t="shared" si="47"/>
        <v>3.0000000000000027E-2</v>
      </c>
      <c r="AD21" s="6">
        <f t="shared" si="47"/>
        <v>3.0000000000000027E-2</v>
      </c>
      <c r="AE21" s="6">
        <f t="shared" si="47"/>
        <v>3.0000000000000027E-2</v>
      </c>
    </row>
    <row r="22" spans="2:31" x14ac:dyDescent="0.2">
      <c r="B22" s="1" t="s">
        <v>92</v>
      </c>
      <c r="C22" s="6"/>
      <c r="D22" s="6"/>
      <c r="E22" s="6"/>
      <c r="F22" s="6"/>
      <c r="G22" s="6"/>
      <c r="H22" s="6"/>
      <c r="I22" s="6"/>
      <c r="J22" s="6"/>
      <c r="K22" s="6"/>
      <c r="L22" s="6">
        <f t="shared" si="42"/>
        <v>-1.3291013687760311E-2</v>
      </c>
      <c r="M22" s="6">
        <f t="shared" si="43"/>
        <v>-0.11268993781597203</v>
      </c>
      <c r="N22" s="6"/>
      <c r="O22" s="6">
        <f t="shared" si="48"/>
        <v>-0.44300150075037525</v>
      </c>
      <c r="P22" s="6">
        <f t="shared" si="44"/>
        <v>-0.15301877455074087</v>
      </c>
      <c r="U22" s="6"/>
      <c r="V22" s="6">
        <f t="shared" ref="V22:W22" si="51">+V7/U7-1</f>
        <v>2.6911942515632021</v>
      </c>
      <c r="W22" s="6">
        <f t="shared" si="51"/>
        <v>0.50608179143776089</v>
      </c>
      <c r="X22" s="6">
        <f t="shared" ref="X22:Y22" si="52">+X7/W7-1</f>
        <v>0.1940074983946809</v>
      </c>
      <c r="Y22" s="6">
        <f t="shared" si="52"/>
        <v>5.5843630894243379E-3</v>
      </c>
      <c r="Z22" s="6">
        <f t="shared" si="47"/>
        <v>1.0000000000000009E-2</v>
      </c>
      <c r="AA22" s="6">
        <f t="shared" si="47"/>
        <v>1.0000000000000009E-2</v>
      </c>
      <c r="AB22" s="6">
        <f t="shared" si="47"/>
        <v>1.0000000000000009E-2</v>
      </c>
      <c r="AC22" s="6">
        <f t="shared" si="47"/>
        <v>1.0000000000000009E-2</v>
      </c>
      <c r="AD22" s="6">
        <f t="shared" si="47"/>
        <v>1.0000000000000009E-2</v>
      </c>
      <c r="AE22" s="6">
        <f t="shared" si="47"/>
        <v>1.0000000000000009E-2</v>
      </c>
    </row>
    <row r="24" spans="2:31" x14ac:dyDescent="0.2">
      <c r="B24" s="1" t="s">
        <v>93</v>
      </c>
      <c r="J24" s="6" t="e">
        <f t="shared" ref="J24:K24" si="53">+J4/J2</f>
        <v>#DIV/0!</v>
      </c>
      <c r="K24" s="9">
        <f t="shared" si="53"/>
        <v>0.76121259603171443</v>
      </c>
      <c r="L24" s="9">
        <f t="shared" ref="L24:M24" si="54">+L4/L2</f>
        <v>0.7659044363804981</v>
      </c>
      <c r="M24" s="9">
        <f t="shared" si="54"/>
        <v>0.76160678861327302</v>
      </c>
      <c r="N24" s="6">
        <f>+N4/M2</f>
        <v>0</v>
      </c>
      <c r="O24" s="9">
        <f>+O4/O2</f>
        <v>0.76052062942393928</v>
      </c>
      <c r="P24" s="9">
        <f t="shared" ref="P24" si="55">+P4/P2</f>
        <v>0.75476636961084542</v>
      </c>
      <c r="U24" s="6">
        <f t="shared" ref="U24:AE24" si="56">+U4/U2</f>
        <v>0.81467193868865406</v>
      </c>
      <c r="V24" s="6">
        <f t="shared" si="56"/>
        <v>0.68997551452684047</v>
      </c>
      <c r="W24" s="6">
        <f t="shared" si="56"/>
        <v>0.74278317524678861</v>
      </c>
      <c r="X24" s="6">
        <f t="shared" si="56"/>
        <v>0.74949669471153846</v>
      </c>
      <c r="Y24" s="6">
        <f t="shared" si="56"/>
        <v>0.76192894365288755</v>
      </c>
      <c r="Z24" s="6">
        <f t="shared" si="56"/>
        <v>0.76</v>
      </c>
      <c r="AA24" s="6">
        <f t="shared" si="56"/>
        <v>0.76</v>
      </c>
      <c r="AB24" s="6">
        <f t="shared" si="56"/>
        <v>0.76</v>
      </c>
      <c r="AC24" s="6">
        <f t="shared" si="56"/>
        <v>0.76</v>
      </c>
      <c r="AD24" s="6">
        <f t="shared" si="56"/>
        <v>0.76</v>
      </c>
      <c r="AE24" s="6">
        <f t="shared" si="56"/>
        <v>0.76</v>
      </c>
    </row>
    <row r="25" spans="2:31" x14ac:dyDescent="0.2">
      <c r="B25" s="1" t="s">
        <v>94</v>
      </c>
      <c r="J25" s="6" t="e">
        <f t="shared" ref="J25:K25" si="57">+J9/J2</f>
        <v>#DIV/0!</v>
      </c>
      <c r="K25" s="9">
        <f t="shared" si="57"/>
        <v>8.8133863596064968E-3</v>
      </c>
      <c r="L25" s="9">
        <f t="shared" ref="L25:M25" si="58">+L9/L2</f>
        <v>0.15598642634076765</v>
      </c>
      <c r="M25" s="9">
        <f t="shared" si="58"/>
        <v>0.14901467106877905</v>
      </c>
      <c r="N25" s="6">
        <f>+N9/M2</f>
        <v>0</v>
      </c>
      <c r="O25" s="9">
        <f>+O9/O2</f>
        <v>0.17789690808370573</v>
      </c>
      <c r="P25" s="9">
        <f t="shared" ref="P25" si="59">+P9/P2</f>
        <v>0.17407872552730286</v>
      </c>
      <c r="U25" s="6">
        <f t="shared" ref="U25:AE25" si="60">+U9/U2</f>
        <v>2.0390005428341029E-2</v>
      </c>
      <c r="V25" s="6">
        <f t="shared" si="60"/>
        <v>0.24887077161676538</v>
      </c>
      <c r="W25" s="6">
        <f t="shared" si="60"/>
        <v>0.25942104421024687</v>
      </c>
      <c r="X25" s="6">
        <f t="shared" si="60"/>
        <v>5.5868708114801886E-2</v>
      </c>
      <c r="Y25" s="6">
        <f t="shared" si="60"/>
        <v>0.1160267307294713</v>
      </c>
      <c r="Z25" s="6">
        <f t="shared" si="60"/>
        <v>0.13411988713739556</v>
      </c>
      <c r="AA25" s="6">
        <f t="shared" si="60"/>
        <v>0.14347182118608015</v>
      </c>
      <c r="AB25" s="6">
        <f t="shared" si="60"/>
        <v>0.14778791555764018</v>
      </c>
      <c r="AC25" s="6">
        <f t="shared" si="60"/>
        <v>0.14706832410346127</v>
      </c>
      <c r="AD25" s="6">
        <f t="shared" si="60"/>
        <v>0.14631319665616763</v>
      </c>
      <c r="AE25" s="6">
        <f t="shared" si="60"/>
        <v>0.14552267906657004</v>
      </c>
    </row>
    <row r="26" spans="2:31" x14ac:dyDescent="0.2">
      <c r="B26" s="1" t="s">
        <v>95</v>
      </c>
      <c r="J26" s="6" t="e">
        <f t="shared" ref="J26:K26" si="61">+J14/J2</f>
        <v>#DIV/0!</v>
      </c>
      <c r="K26" s="9">
        <f t="shared" si="61"/>
        <v>1.3971868090511427E-2</v>
      </c>
      <c r="L26" s="9">
        <f t="shared" ref="L26:M26" si="62">+L14/L2</f>
        <v>0.15981192191633087</v>
      </c>
      <c r="M26" s="9">
        <f t="shared" si="62"/>
        <v>0.12422683722652846</v>
      </c>
      <c r="N26" s="6">
        <f>+N14/M2</f>
        <v>0</v>
      </c>
      <c r="O26" s="9">
        <f>+O14/O2</f>
        <v>0.1895386923277784</v>
      </c>
      <c r="P26" s="9">
        <f t="shared" ref="P26" si="63">+P14/P2</f>
        <v>0.18839675876544071</v>
      </c>
      <c r="U26" s="6">
        <f t="shared" ref="U26:AE26" si="64">+U14/U2</f>
        <v>4.064028728451248E-2</v>
      </c>
      <c r="V26" s="6">
        <f t="shared" si="64"/>
        <v>0.25357324973372236</v>
      </c>
      <c r="W26" s="6">
        <f t="shared" si="64"/>
        <v>0.3355316176341458</v>
      </c>
      <c r="X26" s="6">
        <f t="shared" si="64"/>
        <v>2.3608455346736619E-2</v>
      </c>
      <c r="Y26" s="6">
        <f t="shared" si="64"/>
        <v>0.14080637494411585</v>
      </c>
      <c r="Z26" s="6">
        <f t="shared" si="64"/>
        <v>0.1436779341246405</v>
      </c>
      <c r="AA26" s="6">
        <f t="shared" si="64"/>
        <v>0.15354644384438554</v>
      </c>
      <c r="AB26" s="6">
        <f t="shared" si="64"/>
        <v>0.15960949710920058</v>
      </c>
      <c r="AC26" s="6">
        <f t="shared" si="64"/>
        <v>0.16177516753748505</v>
      </c>
      <c r="AD26" s="6">
        <f t="shared" si="64"/>
        <v>0.16390146540371855</v>
      </c>
      <c r="AE26" s="6">
        <f t="shared" si="64"/>
        <v>0.16598784781685647</v>
      </c>
    </row>
    <row r="28" spans="2:31" x14ac:dyDescent="0.2">
      <c r="B28" s="1" t="s">
        <v>36</v>
      </c>
      <c r="C28" s="2">
        <f t="shared" ref="C28:N28" si="65">+C14</f>
        <v>0</v>
      </c>
      <c r="D28" s="2">
        <f t="shared" si="65"/>
        <v>0</v>
      </c>
      <c r="E28" s="2">
        <f t="shared" si="65"/>
        <v>0</v>
      </c>
      <c r="F28" s="2">
        <f t="shared" si="65"/>
        <v>0</v>
      </c>
      <c r="G28" s="2">
        <f t="shared" si="65"/>
        <v>113.65799999999994</v>
      </c>
      <c r="H28" s="2">
        <f t="shared" si="65"/>
        <v>45.750000000000043</v>
      </c>
      <c r="I28" s="2">
        <f t="shared" si="65"/>
        <v>48.35299999999993</v>
      </c>
      <c r="J28" s="2">
        <f t="shared" si="65"/>
        <v>0</v>
      </c>
      <c r="K28" s="2">
        <f t="shared" si="65"/>
        <v>15.444000000000074</v>
      </c>
      <c r="L28" s="2">
        <f t="shared" si="65"/>
        <v>181.97399999999996</v>
      </c>
      <c r="M28" s="2">
        <f t="shared" si="65"/>
        <v>141.21200000000002</v>
      </c>
      <c r="N28" s="2">
        <f t="shared" si="65"/>
        <v>0</v>
      </c>
      <c r="O28" s="2">
        <f>+O14</f>
        <v>216.30799999999982</v>
      </c>
      <c r="P28" s="2">
        <f t="shared" ref="P28" si="66">+P14</f>
        <v>219.01500000000013</v>
      </c>
      <c r="U28" s="2">
        <f t="shared" ref="U28:AE28" si="67">+U14</f>
        <v>25.304999999999971</v>
      </c>
      <c r="V28" s="2">
        <f t="shared" si="67"/>
        <v>672.31600000000003</v>
      </c>
      <c r="W28" s="2">
        <f t="shared" si="67"/>
        <v>1375.6339999999993</v>
      </c>
      <c r="X28" s="2">
        <f t="shared" si="67"/>
        <v>103.7110000000001</v>
      </c>
      <c r="Y28" s="2">
        <f t="shared" si="67"/>
        <v>637.46199999999999</v>
      </c>
      <c r="Z28" s="2">
        <f t="shared" si="67"/>
        <v>665.42282204719982</v>
      </c>
      <c r="AA28" s="2">
        <f t="shared" si="67"/>
        <v>727.48327499662275</v>
      </c>
      <c r="AB28" s="2">
        <f t="shared" si="67"/>
        <v>773.6020530083581</v>
      </c>
      <c r="AC28" s="2">
        <f t="shared" si="67"/>
        <v>802.13298639134109</v>
      </c>
      <c r="AD28" s="2">
        <f t="shared" si="67"/>
        <v>831.36739537702306</v>
      </c>
      <c r="AE28" s="2">
        <f t="shared" si="67"/>
        <v>861.31513653154161</v>
      </c>
    </row>
    <row r="29" spans="2:31" x14ac:dyDescent="0.2">
      <c r="B29" s="1" t="s">
        <v>41</v>
      </c>
      <c r="C29" s="2"/>
      <c r="D29" s="2"/>
      <c r="E29" s="2"/>
      <c r="F29" s="2"/>
      <c r="G29" s="2"/>
      <c r="H29" s="2"/>
      <c r="I29" s="2">
        <f>767.693-G29-H29</f>
        <v>767.69299999999998</v>
      </c>
      <c r="J29" s="2"/>
      <c r="K29" s="2">
        <v>282.34500000000003</v>
      </c>
      <c r="L29" s="2">
        <v>261.50900000000001</v>
      </c>
      <c r="M29" s="2">
        <f>802.788-L29-K29</f>
        <v>258.93399999999997</v>
      </c>
      <c r="N29" s="2"/>
      <c r="O29" s="2">
        <v>229.42500000000001</v>
      </c>
      <c r="P29" s="2">
        <v>237.95</v>
      </c>
      <c r="U29" s="8">
        <v>73.108999999999995</v>
      </c>
      <c r="V29" s="8">
        <v>275.81799999999998</v>
      </c>
      <c r="W29" s="8">
        <v>477.28699999999998</v>
      </c>
      <c r="X29" s="8">
        <v>1285.752</v>
      </c>
      <c r="Y29" s="8">
        <v>1057.1610000000001</v>
      </c>
      <c r="Z29" s="2"/>
      <c r="AA29" s="2"/>
      <c r="AB29" s="2"/>
      <c r="AC29" s="2"/>
      <c r="AD29" s="2"/>
      <c r="AE29" s="2"/>
    </row>
    <row r="30" spans="2:31" x14ac:dyDescent="0.2">
      <c r="B30" s="1" t="s">
        <v>42</v>
      </c>
      <c r="C30" s="2"/>
      <c r="D30" s="2"/>
      <c r="E30" s="2"/>
      <c r="F30" s="2"/>
      <c r="G30" s="2"/>
      <c r="H30" s="2"/>
      <c r="I30" s="2">
        <f>186.626-G30-H30</f>
        <v>186.626</v>
      </c>
      <c r="J30" s="2"/>
      <c r="K30" s="2">
        <v>73.23</v>
      </c>
      <c r="L30" s="2">
        <v>65.513999999999996</v>
      </c>
      <c r="M30" s="2">
        <f>203.908-K30-L30</f>
        <v>65.164000000000001</v>
      </c>
      <c r="N30" s="2"/>
      <c r="O30" s="2">
        <v>68.125</v>
      </c>
      <c r="P30" s="2">
        <v>71.688000000000002</v>
      </c>
      <c r="U30" s="2">
        <v>37.100999999999999</v>
      </c>
      <c r="V30" s="2">
        <v>104.306</v>
      </c>
      <c r="W30" s="2">
        <v>-327.95699999999999</v>
      </c>
      <c r="X30" s="2">
        <v>-160.96100000000001</v>
      </c>
      <c r="Y30" s="2">
        <v>-116.679</v>
      </c>
      <c r="Z30" s="2"/>
      <c r="AA30" s="2"/>
      <c r="AB30" s="2"/>
      <c r="AC30" s="2"/>
      <c r="AD30" s="2"/>
      <c r="AE30" s="2"/>
    </row>
    <row r="31" spans="2:31" x14ac:dyDescent="0.2">
      <c r="B31" s="1" t="s">
        <v>43</v>
      </c>
      <c r="C31" s="2"/>
      <c r="D31" s="2"/>
      <c r="E31" s="2"/>
      <c r="F31" s="2"/>
      <c r="G31" s="2"/>
      <c r="H31" s="2"/>
      <c r="I31" s="2">
        <f>57.921-G31-H31</f>
        <v>57.920999999999999</v>
      </c>
      <c r="J31" s="2"/>
      <c r="K31" s="2">
        <v>24.076000000000001</v>
      </c>
      <c r="L31" s="2">
        <v>26.126000000000001</v>
      </c>
      <c r="M31" s="2">
        <f>77.179-K31-L31</f>
        <v>26.977</v>
      </c>
      <c r="N31" s="2"/>
      <c r="O31" s="2">
        <v>26.667000000000002</v>
      </c>
      <c r="P31" s="2">
        <v>29.084</v>
      </c>
      <c r="U31" s="2">
        <v>16.449000000000002</v>
      </c>
      <c r="V31" s="2">
        <v>28.856999999999999</v>
      </c>
      <c r="W31" s="2">
        <v>177.28299999999999</v>
      </c>
      <c r="X31" s="2">
        <v>259.36799999999999</v>
      </c>
      <c r="Y31" s="2">
        <v>270.70100000000002</v>
      </c>
      <c r="Z31" s="2"/>
      <c r="AA31" s="2"/>
      <c r="AB31" s="2"/>
      <c r="AC31" s="2"/>
      <c r="AD31" s="2"/>
      <c r="AE31" s="2"/>
    </row>
    <row r="32" spans="2:31" x14ac:dyDescent="0.2">
      <c r="B32" s="1" t="s">
        <v>66</v>
      </c>
      <c r="C32" s="2"/>
      <c r="D32" s="2"/>
      <c r="E32" s="2"/>
      <c r="F32" s="2"/>
      <c r="G32" s="2"/>
      <c r="H32" s="2"/>
      <c r="I32" s="2">
        <f>0-G32-H32</f>
        <v>0</v>
      </c>
      <c r="J32" s="2"/>
      <c r="K32" s="2">
        <v>21.510999999999999</v>
      </c>
      <c r="L32" s="2">
        <v>-7.5359999999999996</v>
      </c>
      <c r="M32" s="2">
        <f>20.056-K32-L32</f>
        <v>6.0810000000000013</v>
      </c>
      <c r="N32" s="2"/>
      <c r="O32" s="2">
        <v>-7.952</v>
      </c>
      <c r="P32" s="2">
        <v>-49.914000000000001</v>
      </c>
      <c r="U32" s="2"/>
      <c r="V32" s="2"/>
      <c r="W32" s="2">
        <v>-43.761000000000003</v>
      </c>
      <c r="X32" s="2">
        <v>37.517000000000003</v>
      </c>
      <c r="Y32" s="2">
        <v>-109.77</v>
      </c>
      <c r="Z32" s="2"/>
      <c r="AA32" s="2"/>
      <c r="AB32" s="2"/>
      <c r="AC32" s="2"/>
      <c r="AD32" s="2"/>
      <c r="AE32" s="2"/>
    </row>
    <row r="33" spans="2:31" x14ac:dyDescent="0.2">
      <c r="B33" s="1" t="s">
        <v>32</v>
      </c>
      <c r="C33" s="2"/>
      <c r="D33" s="2"/>
      <c r="E33" s="2"/>
      <c r="F33" s="2"/>
      <c r="G33" s="2"/>
      <c r="H33" s="2"/>
      <c r="I33" s="2">
        <f>78.014-G33-H33</f>
        <v>78.013999999999996</v>
      </c>
      <c r="J33" s="2"/>
      <c r="K33" s="2">
        <v>-2.2749999999999999</v>
      </c>
      <c r="L33" s="2">
        <v>-31.67</v>
      </c>
      <c r="M33" s="2">
        <f>-8.474-K33-L33</f>
        <v>25.471000000000004</v>
      </c>
      <c r="N33" s="2"/>
      <c r="O33" s="2">
        <v>-17.353999999999999</v>
      </c>
      <c r="P33" s="2">
        <v>-3.1070000000000002</v>
      </c>
      <c r="U33" s="2"/>
      <c r="V33" s="2"/>
      <c r="W33" s="2">
        <v>48.188000000000002</v>
      </c>
      <c r="X33" s="2">
        <v>82.320999999999998</v>
      </c>
      <c r="Y33" s="2">
        <v>104.45099999999999</v>
      </c>
      <c r="Z33" s="2"/>
      <c r="AA33" s="2"/>
      <c r="AB33" s="2"/>
      <c r="AC33" s="2"/>
      <c r="AD33" s="2"/>
      <c r="AE33" s="2"/>
    </row>
    <row r="34" spans="2:31" x14ac:dyDescent="0.2">
      <c r="B34" s="1" t="s">
        <v>44</v>
      </c>
      <c r="C34" s="2"/>
      <c r="D34" s="2"/>
      <c r="E34" s="2"/>
      <c r="F34" s="2"/>
      <c r="G34" s="2"/>
      <c r="H34" s="2"/>
      <c r="I34" s="2">
        <f>39.58-G34-H34</f>
        <v>39.58</v>
      </c>
      <c r="J34" s="2"/>
      <c r="K34" s="2">
        <v>15.433</v>
      </c>
      <c r="L34" s="2">
        <v>6.7709999999999999</v>
      </c>
      <c r="M34" s="2">
        <f>29.062-K34-L34</f>
        <v>6.8580000000000014</v>
      </c>
      <c r="N34" s="2"/>
      <c r="O34" s="2">
        <v>6.782</v>
      </c>
      <c r="P34" s="2">
        <v>5.7359999999999998</v>
      </c>
      <c r="U34" s="2">
        <v>6.37</v>
      </c>
      <c r="V34" s="2">
        <v>32.006999999999998</v>
      </c>
      <c r="W34" s="2">
        <v>36.747</v>
      </c>
      <c r="X34" s="2">
        <v>50.284999999999997</v>
      </c>
      <c r="Y34" s="2">
        <v>35.244</v>
      </c>
      <c r="Z34" s="2"/>
      <c r="AA34" s="2"/>
      <c r="AB34" s="2"/>
      <c r="AC34" s="2"/>
      <c r="AD34" s="2"/>
      <c r="AE34" s="2"/>
    </row>
    <row r="35" spans="2:31" x14ac:dyDescent="0.2">
      <c r="B35" s="1" t="s">
        <v>67</v>
      </c>
      <c r="C35" s="2"/>
      <c r="D35" s="2"/>
      <c r="E35" s="2"/>
      <c r="F35" s="2"/>
      <c r="G35" s="2"/>
      <c r="H35" s="2"/>
      <c r="I35" s="2">
        <f>40.884-G35-H35</f>
        <v>40.884</v>
      </c>
      <c r="J35" s="2"/>
      <c r="K35" s="2">
        <v>3.3159999999999998</v>
      </c>
      <c r="L35" s="2">
        <v>1.367</v>
      </c>
      <c r="M35" s="2">
        <f>23.281-K35-L35</f>
        <v>18.597999999999999</v>
      </c>
      <c r="N35" s="2"/>
      <c r="O35" s="2">
        <v>7.2370000000000001</v>
      </c>
      <c r="P35" s="2">
        <v>-8.0000000000000002E-3</v>
      </c>
      <c r="U35" s="2"/>
      <c r="V35" s="2"/>
      <c r="W35" s="2">
        <v>0</v>
      </c>
      <c r="X35" s="2">
        <v>13.266</v>
      </c>
      <c r="Y35" s="2">
        <v>12.259</v>
      </c>
      <c r="Z35" s="2"/>
      <c r="AA35" s="2"/>
      <c r="AB35" s="2"/>
      <c r="AC35" s="2"/>
      <c r="AD35" s="2"/>
      <c r="AE35" s="2"/>
    </row>
    <row r="36" spans="2:31" x14ac:dyDescent="0.2">
      <c r="B36" s="1" t="s">
        <v>45</v>
      </c>
      <c r="C36" s="2"/>
      <c r="D36" s="2"/>
      <c r="E36" s="2"/>
      <c r="F36" s="2"/>
      <c r="G36" s="2"/>
      <c r="H36" s="2"/>
      <c r="I36" s="2">
        <f>16.949-G36-H36</f>
        <v>16.949000000000002</v>
      </c>
      <c r="J36" s="2"/>
      <c r="K36" s="2">
        <v>5.3810000000000002</v>
      </c>
      <c r="L36" s="2">
        <v>5.2759999999999998</v>
      </c>
      <c r="M36" s="2">
        <f>15.841-K36-L36</f>
        <v>5.1839999999999993</v>
      </c>
      <c r="N36" s="2"/>
      <c r="O36" s="2">
        <v>5.3680000000000003</v>
      </c>
      <c r="P36" s="2">
        <v>6.5890000000000004</v>
      </c>
      <c r="U36" s="2">
        <v>6.8849999999999998</v>
      </c>
      <c r="V36" s="2">
        <v>10.887</v>
      </c>
      <c r="W36" s="2">
        <v>18.387</v>
      </c>
      <c r="X36" s="2">
        <v>28.933</v>
      </c>
      <c r="Y36" s="2">
        <v>21.065999999999999</v>
      </c>
      <c r="Z36" s="2"/>
      <c r="AA36" s="2"/>
      <c r="AB36" s="2"/>
      <c r="AC36" s="2"/>
      <c r="AD36" s="2"/>
      <c r="AE36" s="2"/>
    </row>
    <row r="37" spans="2:31" x14ac:dyDescent="0.2">
      <c r="B37" s="1" t="s">
        <v>46</v>
      </c>
      <c r="C37" s="2"/>
      <c r="D37" s="2"/>
      <c r="E37" s="2"/>
      <c r="F37" s="2"/>
      <c r="G37" s="2"/>
      <c r="H37" s="2"/>
      <c r="I37" s="2">
        <f>4.156-G37-H37</f>
        <v>4.1559999999999997</v>
      </c>
      <c r="J37" s="2"/>
      <c r="K37" s="2">
        <v>-6.7649999999999997</v>
      </c>
      <c r="L37" s="2">
        <v>-11.249000000000001</v>
      </c>
      <c r="M37" s="2">
        <f>-33.307-K37-L37</f>
        <v>-15.293000000000001</v>
      </c>
      <c r="N37" s="2"/>
      <c r="O37" s="2">
        <v>-17.667999999999999</v>
      </c>
      <c r="P37" s="2">
        <v>-18.172000000000001</v>
      </c>
      <c r="U37" s="2"/>
      <c r="V37" s="2"/>
      <c r="W37" s="2">
        <v>25.315999999999999</v>
      </c>
      <c r="X37" s="2">
        <v>1.206</v>
      </c>
      <c r="Y37" s="2">
        <v>-50.77</v>
      </c>
      <c r="Z37" s="2"/>
      <c r="AA37" s="2"/>
      <c r="AB37" s="2"/>
      <c r="AC37" s="2"/>
      <c r="AD37" s="2"/>
      <c r="AE37" s="2"/>
    </row>
    <row r="38" spans="2:31" x14ac:dyDescent="0.2">
      <c r="B38" s="1" t="s">
        <v>47</v>
      </c>
      <c r="C38" s="2"/>
      <c r="D38" s="2"/>
      <c r="E38" s="2"/>
      <c r="F38" s="2"/>
      <c r="G38" s="2"/>
      <c r="H38" s="2"/>
      <c r="I38" s="2">
        <f>1.044-G38-H38</f>
        <v>1.044</v>
      </c>
      <c r="J38" s="2"/>
      <c r="K38" s="2">
        <v>-5.4710000000000001</v>
      </c>
      <c r="L38" s="2">
        <v>2.056</v>
      </c>
      <c r="M38" s="2">
        <f>-5.251-K38-L38</f>
        <v>-1.8360000000000003</v>
      </c>
      <c r="N38" s="2"/>
      <c r="O38" s="2">
        <v>9.8000000000000004E-2</v>
      </c>
      <c r="P38" s="2">
        <v>-1.323</v>
      </c>
      <c r="U38" s="2">
        <v>-1.0680000000000001</v>
      </c>
      <c r="V38" s="2">
        <f>3.822+23.312</f>
        <v>27.134</v>
      </c>
      <c r="W38" s="2">
        <v>4.5910000000000002</v>
      </c>
      <c r="X38" s="2">
        <v>1.647</v>
      </c>
      <c r="Y38" s="2">
        <v>-7.67</v>
      </c>
      <c r="Z38" s="2"/>
      <c r="AA38" s="2"/>
      <c r="AB38" s="2"/>
      <c r="AC38" s="2"/>
      <c r="AD38" s="2"/>
      <c r="AE38" s="2"/>
    </row>
    <row r="39" spans="2:31" x14ac:dyDescent="0.2">
      <c r="B39" s="1" t="s">
        <v>48</v>
      </c>
      <c r="C39" s="2"/>
      <c r="D39" s="2"/>
      <c r="E39" s="2"/>
      <c r="F39" s="2"/>
      <c r="G39" s="2"/>
      <c r="H39" s="2"/>
      <c r="I39" s="2">
        <f>-238.02-G39-H39</f>
        <v>-238.02</v>
      </c>
      <c r="J39" s="2"/>
      <c r="K39" s="2">
        <v>-29.100999999999999</v>
      </c>
      <c r="L39" s="2">
        <v>42.731999999999999</v>
      </c>
      <c r="M39" s="2">
        <f>71.993-K39-L39</f>
        <v>58.361999999999995</v>
      </c>
      <c r="N39" s="2"/>
      <c r="O39" s="2">
        <v>12.26</v>
      </c>
      <c r="P39" s="2">
        <v>-4.6230000000000002</v>
      </c>
      <c r="U39" s="2">
        <v>-64.715000000000003</v>
      </c>
      <c r="V39" s="2">
        <v>-219.03899999999999</v>
      </c>
      <c r="W39" s="2">
        <v>-159.18299999999999</v>
      </c>
      <c r="X39" s="2">
        <v>-231.845</v>
      </c>
      <c r="Y39" s="2">
        <v>53.27</v>
      </c>
      <c r="Z39" s="2"/>
      <c r="AA39" s="2"/>
      <c r="AB39" s="2"/>
      <c r="AC39" s="2"/>
      <c r="AD39" s="2"/>
      <c r="AE39" s="2"/>
    </row>
    <row r="40" spans="2:31" x14ac:dyDescent="0.2">
      <c r="B40" s="1" t="s">
        <v>49</v>
      </c>
      <c r="C40" s="2"/>
      <c r="D40" s="2"/>
      <c r="E40" s="2"/>
      <c r="F40" s="2"/>
      <c r="G40" s="2"/>
      <c r="H40" s="2"/>
      <c r="I40" s="2">
        <f>-163.721-G40-H40</f>
        <v>-163.721</v>
      </c>
      <c r="J40" s="2"/>
      <c r="K40" s="2">
        <v>-6.6589999999999998</v>
      </c>
      <c r="L40" s="2">
        <v>-77.228999999999999</v>
      </c>
      <c r="M40" s="2">
        <f>-124.455-K40-L40</f>
        <v>-40.566999999999993</v>
      </c>
      <c r="N40" s="2"/>
      <c r="O40" s="2">
        <v>35.838999999999999</v>
      </c>
      <c r="P40" s="2">
        <v>25.196000000000002</v>
      </c>
      <c r="U40" s="2">
        <v>-24.805</v>
      </c>
      <c r="V40" s="2">
        <v>-68.521000000000001</v>
      </c>
      <c r="W40" s="2">
        <v>-155.934</v>
      </c>
      <c r="X40" s="2">
        <v>-18.065999999999999</v>
      </c>
      <c r="Y40" s="2">
        <v>-71.247</v>
      </c>
      <c r="Z40" s="2"/>
      <c r="AA40" s="2"/>
      <c r="AB40" s="2"/>
      <c r="AC40" s="2"/>
      <c r="AD40" s="2"/>
      <c r="AE40" s="2"/>
    </row>
    <row r="41" spans="2:31" x14ac:dyDescent="0.2">
      <c r="B41" s="1" t="s">
        <v>50</v>
      </c>
      <c r="C41" s="2"/>
      <c r="D41" s="2"/>
      <c r="E41" s="2"/>
      <c r="F41" s="2"/>
      <c r="G41" s="2"/>
      <c r="H41" s="2"/>
      <c r="I41" s="2">
        <f>-217.822-G41-H41</f>
        <v>-217.822</v>
      </c>
      <c r="J41" s="2"/>
      <c r="K41" s="2">
        <v>-46.338000000000001</v>
      </c>
      <c r="L41" s="2">
        <v>-46.588999999999999</v>
      </c>
      <c r="M41" s="2">
        <f>-146.354-K41-L41</f>
        <v>-53.427000000000021</v>
      </c>
      <c r="N41" s="2"/>
      <c r="O41" s="2">
        <v>-40.128</v>
      </c>
      <c r="P41" s="2">
        <v>-70.590999999999994</v>
      </c>
      <c r="U41" s="2">
        <v>-72.713999999999999</v>
      </c>
      <c r="V41" s="2">
        <v>-307.06799999999998</v>
      </c>
      <c r="W41" s="2">
        <v>-247.37100000000001</v>
      </c>
      <c r="X41" s="2">
        <v>-298.62900000000002</v>
      </c>
      <c r="Y41" s="2">
        <v>-214.65700000000001</v>
      </c>
      <c r="Z41" s="2"/>
      <c r="AA41" s="2"/>
      <c r="AB41" s="2"/>
      <c r="AC41" s="2"/>
      <c r="AD41" s="2"/>
      <c r="AE41" s="2"/>
    </row>
    <row r="42" spans="2:31" x14ac:dyDescent="0.2">
      <c r="B42" s="1" t="s">
        <v>51</v>
      </c>
      <c r="C42" s="2"/>
      <c r="D42" s="2"/>
      <c r="E42" s="2"/>
      <c r="F42" s="2"/>
      <c r="G42" s="2"/>
      <c r="H42" s="2"/>
      <c r="I42" s="2">
        <f>24.561-G42-H42</f>
        <v>24.561</v>
      </c>
      <c r="J42" s="2"/>
      <c r="K42" s="2">
        <v>1.881</v>
      </c>
      <c r="L42" s="2">
        <v>3.1179999999999999</v>
      </c>
      <c r="M42" s="2">
        <f>-2.258-K42-L42</f>
        <v>-7.2569999999999997</v>
      </c>
      <c r="N42" s="2"/>
      <c r="O42" s="2">
        <v>7.2759999999999998</v>
      </c>
      <c r="P42" s="2">
        <v>-7.0090000000000003</v>
      </c>
      <c r="U42" s="2">
        <v>-2.0299999999999998</v>
      </c>
      <c r="V42" s="2">
        <v>3.4809999999999999</v>
      </c>
      <c r="W42" s="2">
        <v>-2.218</v>
      </c>
      <c r="X42" s="2">
        <v>11.611000000000001</v>
      </c>
      <c r="Y42" s="2">
        <v>-4.4160000000000004</v>
      </c>
      <c r="Z42" s="2"/>
      <c r="AA42" s="2"/>
      <c r="AB42" s="2"/>
      <c r="AC42" s="2"/>
      <c r="AD42" s="2"/>
      <c r="AE42" s="2"/>
    </row>
    <row r="43" spans="2:31" x14ac:dyDescent="0.2">
      <c r="B43" s="1" t="s">
        <v>52</v>
      </c>
      <c r="C43" s="2"/>
      <c r="D43" s="2"/>
      <c r="E43" s="2"/>
      <c r="F43" s="2"/>
      <c r="G43" s="2"/>
      <c r="H43" s="2"/>
      <c r="I43" s="2">
        <f>116.391-G43-H43</f>
        <v>116.39100000000001</v>
      </c>
      <c r="J43" s="2"/>
      <c r="K43" s="2">
        <v>24.64</v>
      </c>
      <c r="L43" s="2">
        <v>-83.590999999999994</v>
      </c>
      <c r="M43" s="2">
        <f>-0.015-K43-L43</f>
        <v>58.935999999999993</v>
      </c>
      <c r="N43" s="2"/>
      <c r="O43" s="2">
        <v>-14.942</v>
      </c>
      <c r="P43" s="2">
        <v>-39.024999999999999</v>
      </c>
      <c r="U43" s="2">
        <v>51.179000000000002</v>
      </c>
      <c r="V43" s="2">
        <v>251.654</v>
      </c>
      <c r="W43" s="2">
        <v>101.369</v>
      </c>
      <c r="X43" s="2">
        <v>20.53</v>
      </c>
      <c r="Y43" s="2">
        <v>51.973999999999997</v>
      </c>
      <c r="Z43" s="2"/>
      <c r="AA43" s="2"/>
      <c r="AB43" s="2"/>
      <c r="AC43" s="2"/>
      <c r="AD43" s="2"/>
      <c r="AE43" s="2"/>
    </row>
    <row r="44" spans="2:31" x14ac:dyDescent="0.2">
      <c r="B44" s="1" t="s">
        <v>53</v>
      </c>
      <c r="C44" s="2"/>
      <c r="D44" s="2"/>
      <c r="E44" s="2"/>
      <c r="F44" s="2"/>
      <c r="G44" s="2"/>
      <c r="H44" s="2"/>
      <c r="I44" s="2">
        <f>174.325-G44-H44</f>
        <v>174.32499999999999</v>
      </c>
      <c r="J44" s="2"/>
      <c r="K44" s="2">
        <v>53.34</v>
      </c>
      <c r="L44" s="2">
        <v>2.992</v>
      </c>
      <c r="M44" s="2">
        <f>1.918-K44-L44</f>
        <v>-54.414000000000001</v>
      </c>
      <c r="N44" s="2"/>
      <c r="O44" s="2">
        <v>77.963999999999999</v>
      </c>
      <c r="P44" s="2">
        <v>55.664999999999999</v>
      </c>
      <c r="U44" s="2">
        <v>106.286</v>
      </c>
      <c r="V44" s="2">
        <v>665.72400000000005</v>
      </c>
      <c r="W44" s="2">
        <v>293.887</v>
      </c>
      <c r="X44" s="2">
        <v>127.401</v>
      </c>
      <c r="Y44" s="2">
        <v>-46.719000000000001</v>
      </c>
      <c r="Z44" s="2"/>
      <c r="AA44" s="2"/>
      <c r="AB44" s="2"/>
      <c r="AC44" s="2"/>
      <c r="AD44" s="2"/>
      <c r="AE44" s="2"/>
    </row>
    <row r="45" spans="2:31" x14ac:dyDescent="0.2">
      <c r="B45" s="1" t="s">
        <v>54</v>
      </c>
      <c r="C45" s="2"/>
      <c r="D45" s="2"/>
      <c r="E45" s="2"/>
      <c r="F45" s="2"/>
      <c r="G45" s="2"/>
      <c r="H45" s="2"/>
      <c r="I45" s="2">
        <f>-17.668-G45-H45</f>
        <v>-17.667999999999999</v>
      </c>
      <c r="J45" s="2"/>
      <c r="K45" s="2">
        <v>-5.5010000000000003</v>
      </c>
      <c r="L45" s="2">
        <v>-5.6</v>
      </c>
      <c r="M45" s="2">
        <f>-16.931-K45-L45</f>
        <v>-5.83</v>
      </c>
      <c r="N45" s="2"/>
      <c r="O45" s="2">
        <v>-7.1139999999999999</v>
      </c>
      <c r="P45" s="2">
        <v>-7.8170000000000002</v>
      </c>
      <c r="U45" s="2">
        <v>-5.46</v>
      </c>
      <c r="V45" s="2">
        <v>-6.3789999999999996</v>
      </c>
      <c r="W45" s="2">
        <v>-17.004000000000001</v>
      </c>
      <c r="X45" s="2">
        <v>-23.8339</v>
      </c>
      <c r="Y45" s="2">
        <v>-22.824000000000002</v>
      </c>
      <c r="Z45" s="2"/>
      <c r="AA45" s="2"/>
      <c r="AB45" s="2"/>
      <c r="AC45" s="2"/>
      <c r="AD45" s="2"/>
      <c r="AE45" s="2"/>
    </row>
    <row r="46" spans="2:31" x14ac:dyDescent="0.2">
      <c r="B46" s="1" t="s">
        <v>55</v>
      </c>
      <c r="C46" s="2">
        <f t="shared" ref="C46:N46" si="68">+SUM(C28:C45)</f>
        <v>0</v>
      </c>
      <c r="D46" s="2">
        <f t="shared" si="68"/>
        <v>0</v>
      </c>
      <c r="E46" s="2">
        <f t="shared" si="68"/>
        <v>0</v>
      </c>
      <c r="F46" s="2">
        <f t="shared" si="68"/>
        <v>0</v>
      </c>
      <c r="G46" s="2">
        <f t="shared" si="68"/>
        <v>113.65799999999994</v>
      </c>
      <c r="H46" s="2">
        <f t="shared" si="68"/>
        <v>45.750000000000043</v>
      </c>
      <c r="I46" s="2">
        <f t="shared" si="68"/>
        <v>919.26599999999974</v>
      </c>
      <c r="J46" s="2">
        <f t="shared" si="68"/>
        <v>0</v>
      </c>
      <c r="K46" s="2">
        <f t="shared" si="68"/>
        <v>418.48700000000008</v>
      </c>
      <c r="L46" s="2">
        <f t="shared" si="68"/>
        <v>335.971</v>
      </c>
      <c r="M46" s="2">
        <f t="shared" si="68"/>
        <v>493.15299999999974</v>
      </c>
      <c r="N46" s="2">
        <f t="shared" si="68"/>
        <v>0</v>
      </c>
      <c r="O46" s="2">
        <f>+SUM(O28:O45)</f>
        <v>588.19099999999958</v>
      </c>
      <c r="P46" s="2">
        <f t="shared" ref="P46" si="69">+SUM(P28:P45)</f>
        <v>449.33400000000012</v>
      </c>
      <c r="U46" s="2">
        <f t="shared" ref="U46:AE46" si="70">+SUM(U28:U45)</f>
        <v>151.89199999999994</v>
      </c>
      <c r="V46" s="2">
        <f t="shared" si="70"/>
        <v>1471.1770000000001</v>
      </c>
      <c r="W46" s="2">
        <f t="shared" si="70"/>
        <v>1605.2609999999993</v>
      </c>
      <c r="X46" s="2">
        <f t="shared" si="70"/>
        <v>1290.2130999999997</v>
      </c>
      <c r="Y46" s="2">
        <f t="shared" si="70"/>
        <v>1598.8359999999998</v>
      </c>
      <c r="Z46" s="2">
        <f t="shared" si="70"/>
        <v>665.42282204719982</v>
      </c>
      <c r="AA46" s="2">
        <f t="shared" si="70"/>
        <v>727.48327499662275</v>
      </c>
      <c r="AB46" s="2">
        <f t="shared" si="70"/>
        <v>773.6020530083581</v>
      </c>
      <c r="AC46" s="2">
        <f t="shared" si="70"/>
        <v>802.13298639134109</v>
      </c>
      <c r="AD46" s="2">
        <f t="shared" si="70"/>
        <v>831.36739537702306</v>
      </c>
      <c r="AE46" s="2">
        <f t="shared" si="70"/>
        <v>861.31513653154161</v>
      </c>
    </row>
    <row r="47" spans="2:31" x14ac:dyDescent="0.2">
      <c r="C47" s="2"/>
      <c r="D47" s="2"/>
      <c r="E47" s="2"/>
      <c r="F47" s="2"/>
      <c r="G47" s="2"/>
      <c r="H47" s="2"/>
      <c r="I47" s="2"/>
      <c r="J47" s="2"/>
      <c r="K47" s="2"/>
      <c r="L47" s="2"/>
      <c r="M47" s="2"/>
      <c r="N47" s="2"/>
      <c r="O47" s="2"/>
      <c r="P47" s="2"/>
      <c r="U47" s="2"/>
      <c r="V47" s="2"/>
      <c r="W47" s="2"/>
      <c r="X47" s="2"/>
      <c r="Y47" s="2"/>
      <c r="Z47" s="2"/>
      <c r="AA47" s="2"/>
      <c r="AB47" s="2"/>
      <c r="AC47" s="2"/>
      <c r="AD47" s="2"/>
      <c r="AE47" s="2"/>
    </row>
    <row r="48" spans="2:31" x14ac:dyDescent="0.2">
      <c r="B48" s="1" t="s">
        <v>56</v>
      </c>
      <c r="C48" s="2"/>
      <c r="D48" s="2"/>
      <c r="E48" s="2"/>
      <c r="F48" s="2"/>
      <c r="G48" s="2"/>
      <c r="H48" s="2"/>
      <c r="I48" s="2"/>
      <c r="J48" s="2"/>
      <c r="K48" s="2">
        <v>-768.23</v>
      </c>
      <c r="L48" s="2">
        <v>-1057.9359999999999</v>
      </c>
      <c r="M48" s="2">
        <f>-2963.597-K48-L48</f>
        <v>-1137.4310000000003</v>
      </c>
      <c r="N48" s="2"/>
      <c r="O48" s="2">
        <v>-867.91099999999994</v>
      </c>
      <c r="P48" s="2">
        <v>-1313.404</v>
      </c>
      <c r="U48" s="2">
        <v>-800.22799999999995</v>
      </c>
      <c r="V48" s="2">
        <v>-2056.4699999999998</v>
      </c>
      <c r="W48" s="2">
        <v>-4434.4790000000003</v>
      </c>
      <c r="X48" s="2">
        <v>-2849.1210000000001</v>
      </c>
      <c r="Y48" s="2">
        <v>4083.9679999999998</v>
      </c>
      <c r="Z48" s="2"/>
      <c r="AA48" s="2"/>
      <c r="AB48" s="2"/>
      <c r="AC48" s="2"/>
      <c r="AD48" s="2"/>
      <c r="AE48" s="2"/>
    </row>
    <row r="49" spans="2:31" x14ac:dyDescent="0.2">
      <c r="B49" s="1" t="s">
        <v>57</v>
      </c>
      <c r="C49" s="2"/>
      <c r="D49" s="2"/>
      <c r="E49" s="2"/>
      <c r="F49" s="2"/>
      <c r="G49" s="2"/>
      <c r="H49" s="2"/>
      <c r="I49" s="2"/>
      <c r="J49" s="2"/>
      <c r="K49" s="2">
        <v>559.68600000000004</v>
      </c>
      <c r="L49" s="2">
        <v>983.43399999999997</v>
      </c>
      <c r="M49" s="2">
        <f>2358.078-K49-L49</f>
        <v>814.95799999999986</v>
      </c>
      <c r="N49" s="2"/>
      <c r="O49" s="2">
        <v>776.94100000000003</v>
      </c>
      <c r="P49" s="2">
        <v>867.22799999999995</v>
      </c>
      <c r="U49" s="2">
        <v>343.55399999999997</v>
      </c>
      <c r="V49" s="2">
        <v>580.79499999999996</v>
      </c>
      <c r="W49" s="2">
        <v>1733.0429999999999</v>
      </c>
      <c r="X49" s="2">
        <v>2835.1959999999999</v>
      </c>
      <c r="Y49" s="2">
        <v>3131.4189999999999</v>
      </c>
      <c r="Z49" s="2"/>
      <c r="AA49" s="2"/>
      <c r="AB49" s="2"/>
      <c r="AC49" s="2"/>
      <c r="AD49" s="2"/>
      <c r="AE49" s="2"/>
    </row>
    <row r="50" spans="2:31" x14ac:dyDescent="0.2">
      <c r="B50" s="1" t="s">
        <v>97</v>
      </c>
      <c r="C50" s="2"/>
      <c r="D50" s="2"/>
      <c r="E50" s="2"/>
      <c r="F50" s="2"/>
      <c r="G50" s="2"/>
      <c r="H50" s="2"/>
      <c r="I50" s="2"/>
      <c r="J50" s="2"/>
      <c r="K50" s="2"/>
      <c r="L50" s="2">
        <v>0</v>
      </c>
      <c r="M50" s="2">
        <f>-108.413-K50-L50</f>
        <v>-108.413</v>
      </c>
      <c r="N50" s="2"/>
      <c r="O50" s="2"/>
      <c r="P50" s="2">
        <v>0</v>
      </c>
      <c r="U50" s="2">
        <v>0</v>
      </c>
      <c r="V50" s="2">
        <v>36.896999999999998</v>
      </c>
      <c r="W50" s="2">
        <v>296.86700000000002</v>
      </c>
      <c r="X50" s="2">
        <v>0</v>
      </c>
      <c r="Y50" s="2">
        <v>1.1910000000000001</v>
      </c>
      <c r="Z50" s="2"/>
      <c r="AA50" s="2"/>
      <c r="AB50" s="2"/>
      <c r="AC50" s="2"/>
      <c r="AD50" s="2"/>
      <c r="AE50" s="2"/>
    </row>
    <row r="51" spans="2:31" x14ac:dyDescent="0.2">
      <c r="B51" s="1" t="s">
        <v>58</v>
      </c>
      <c r="C51" s="2"/>
      <c r="D51" s="2"/>
      <c r="E51" s="2"/>
      <c r="F51" s="2"/>
      <c r="G51" s="2"/>
      <c r="H51" s="2"/>
      <c r="I51" s="2"/>
      <c r="J51" s="2"/>
      <c r="K51" s="2">
        <v>-21.826000000000001</v>
      </c>
      <c r="L51" s="2">
        <v>-46.6</v>
      </c>
      <c r="M51" s="2">
        <f>-52.8-K51-L51</f>
        <v>15.626000000000005</v>
      </c>
      <c r="N51" s="2"/>
      <c r="O51" s="2">
        <v>-18.507999999999999</v>
      </c>
      <c r="P51" s="2">
        <v>-84.233999999999995</v>
      </c>
      <c r="U51" s="2">
        <v>-38.084000000000003</v>
      </c>
      <c r="V51" s="2">
        <v>-79.971999999999994</v>
      </c>
      <c r="W51" s="2">
        <v>-132.59</v>
      </c>
      <c r="X51" s="2">
        <v>-103.82599999999999</v>
      </c>
      <c r="Y51" s="2">
        <v>-126.953</v>
      </c>
      <c r="Z51" s="2"/>
      <c r="AA51" s="2"/>
      <c r="AB51" s="2"/>
      <c r="AC51" s="2"/>
      <c r="AD51" s="2"/>
      <c r="AE51" s="2"/>
    </row>
    <row r="52" spans="2:31" x14ac:dyDescent="0.2">
      <c r="B52" s="1" t="s">
        <v>59</v>
      </c>
      <c r="C52" s="2"/>
      <c r="D52" s="2"/>
      <c r="E52" s="2"/>
      <c r="F52" s="2"/>
      <c r="G52" s="2"/>
      <c r="H52" s="2"/>
      <c r="I52" s="2"/>
      <c r="J52" s="2"/>
      <c r="K52" s="2">
        <v>51</v>
      </c>
      <c r="L52" s="2">
        <v>0</v>
      </c>
      <c r="M52" s="2">
        <f>107.244-K52-L52</f>
        <v>56.244</v>
      </c>
      <c r="N52" s="2"/>
      <c r="O52" s="2">
        <v>-3</v>
      </c>
      <c r="P52" s="2">
        <v>-10.5</v>
      </c>
      <c r="U52" s="2">
        <v>-3</v>
      </c>
      <c r="V52" s="2">
        <f>-8-5</f>
        <v>-13</v>
      </c>
      <c r="W52" s="2">
        <v>-305.149</v>
      </c>
      <c r="X52" s="2">
        <v>-69.05</v>
      </c>
      <c r="Y52" s="2">
        <v>-70.527000000000001</v>
      </c>
      <c r="Z52" s="2"/>
      <c r="AA52" s="2"/>
      <c r="AB52" s="2"/>
      <c r="AC52" s="2"/>
      <c r="AD52" s="2"/>
      <c r="AE52" s="2"/>
    </row>
    <row r="53" spans="2:31" x14ac:dyDescent="0.2">
      <c r="B53" s="1" t="s">
        <v>60</v>
      </c>
      <c r="C53" s="2"/>
      <c r="D53" s="2"/>
      <c r="E53" s="2"/>
      <c r="F53" s="2"/>
      <c r="G53" s="2"/>
      <c r="H53" s="2"/>
      <c r="I53" s="2"/>
      <c r="J53" s="2"/>
      <c r="K53" s="2">
        <v>0</v>
      </c>
      <c r="L53" s="2">
        <v>107.244</v>
      </c>
      <c r="M53" s="2">
        <f>-204.918-K53-L53</f>
        <v>-312.16200000000003</v>
      </c>
      <c r="N53" s="2"/>
      <c r="O53" s="2">
        <v>4.6539999999999999</v>
      </c>
      <c r="P53" s="2">
        <v>0</v>
      </c>
      <c r="U53" s="2">
        <v>0</v>
      </c>
      <c r="V53" s="2">
        <v>0</v>
      </c>
      <c r="W53" s="2">
        <v>0</v>
      </c>
      <c r="X53" s="2">
        <v>0.3</v>
      </c>
      <c r="Y53" s="2">
        <v>170.06700000000001</v>
      </c>
      <c r="Z53" s="2"/>
      <c r="AA53" s="2"/>
      <c r="AB53" s="2"/>
      <c r="AC53" s="2"/>
      <c r="AD53" s="2"/>
      <c r="AE53" s="2"/>
    </row>
    <row r="54" spans="2:31" x14ac:dyDescent="0.2">
      <c r="B54" s="1" t="s">
        <v>61</v>
      </c>
      <c r="C54" s="2"/>
      <c r="D54" s="2"/>
      <c r="E54" s="2"/>
      <c r="F54" s="2"/>
      <c r="G54" s="2"/>
      <c r="H54" s="2"/>
      <c r="I54" s="2"/>
      <c r="J54" s="2"/>
      <c r="K54" s="2">
        <v>-199.416</v>
      </c>
      <c r="L54" s="2">
        <v>-5.5019999999999998</v>
      </c>
      <c r="M54" s="2">
        <f>0-K54-L54</f>
        <v>204.91800000000001</v>
      </c>
      <c r="N54" s="2"/>
      <c r="O54" s="2">
        <v>0</v>
      </c>
      <c r="P54" s="2">
        <v>0</v>
      </c>
      <c r="U54" s="2">
        <v>0</v>
      </c>
      <c r="V54" s="2">
        <v>-26.486000000000001</v>
      </c>
      <c r="W54" s="2">
        <v>-3.5009999999999999</v>
      </c>
      <c r="X54" s="1">
        <v>-120.553</v>
      </c>
      <c r="Y54" s="2">
        <v>-204.91800000000001</v>
      </c>
      <c r="Z54" s="2"/>
      <c r="AA54" s="2"/>
      <c r="AB54" s="2"/>
      <c r="AC54" s="2"/>
      <c r="AD54" s="2"/>
      <c r="AE54" s="2"/>
    </row>
    <row r="55" spans="2:31" x14ac:dyDescent="0.2">
      <c r="B55" s="1" t="s">
        <v>96</v>
      </c>
      <c r="C55" s="2"/>
      <c r="D55" s="2"/>
      <c r="E55" s="2"/>
      <c r="F55" s="2"/>
      <c r="G55" s="2"/>
      <c r="H55" s="2"/>
      <c r="I55" s="2"/>
      <c r="J55" s="2"/>
      <c r="K55" s="2"/>
      <c r="L55" s="2"/>
      <c r="M55" s="2"/>
      <c r="N55" s="2"/>
      <c r="O55" s="2"/>
      <c r="P55" s="2">
        <v>0</v>
      </c>
      <c r="U55" s="2">
        <v>0</v>
      </c>
      <c r="V55" s="2">
        <v>-5.843</v>
      </c>
      <c r="W55" s="1">
        <v>-13.018000000000001</v>
      </c>
      <c r="X55" s="2">
        <v>-11.268000000000001</v>
      </c>
      <c r="Y55" s="2">
        <v>0</v>
      </c>
      <c r="Z55" s="2"/>
      <c r="AA55" s="2"/>
      <c r="AB55" s="2"/>
      <c r="AC55" s="2"/>
      <c r="AD55" s="2"/>
      <c r="AE55" s="2"/>
    </row>
    <row r="56" spans="2:31" x14ac:dyDescent="0.2">
      <c r="B56" s="1" t="s">
        <v>62</v>
      </c>
      <c r="C56" s="2">
        <f t="shared" ref="C56:J56" si="71">+SUM(C48:C54)</f>
        <v>0</v>
      </c>
      <c r="D56" s="2">
        <f t="shared" si="71"/>
        <v>0</v>
      </c>
      <c r="E56" s="2">
        <f t="shared" si="71"/>
        <v>0</v>
      </c>
      <c r="F56" s="2">
        <f t="shared" si="71"/>
        <v>0</v>
      </c>
      <c r="G56" s="2">
        <f t="shared" si="71"/>
        <v>0</v>
      </c>
      <c r="H56" s="2">
        <f t="shared" si="71"/>
        <v>0</v>
      </c>
      <c r="I56" s="2">
        <f t="shared" si="71"/>
        <v>0</v>
      </c>
      <c r="J56" s="2">
        <f t="shared" si="71"/>
        <v>0</v>
      </c>
      <c r="K56" s="2">
        <f t="shared" ref="K56:O56" si="72">+SUM(K48:K55)</f>
        <v>-378.78599999999994</v>
      </c>
      <c r="L56" s="2">
        <f t="shared" si="72"/>
        <v>-19.359999999999946</v>
      </c>
      <c r="M56" s="2">
        <f t="shared" si="72"/>
        <v>-466.26000000000045</v>
      </c>
      <c r="N56" s="2">
        <f t="shared" si="72"/>
        <v>0</v>
      </c>
      <c r="O56" s="2">
        <f t="shared" si="72"/>
        <v>-107.82399999999991</v>
      </c>
      <c r="P56" s="2">
        <f>+SUM(P48:P55)</f>
        <v>-540.91000000000008</v>
      </c>
      <c r="U56" s="2">
        <f t="shared" ref="U56:V56" si="73">+SUM(U48:U55)</f>
        <v>-497.75799999999998</v>
      </c>
      <c r="V56" s="2">
        <f t="shared" si="73"/>
        <v>-1564.079</v>
      </c>
      <c r="W56" s="2">
        <f>+SUM(W48:W55)</f>
        <v>-2858.8270000000007</v>
      </c>
      <c r="X56" s="2">
        <f t="shared" ref="X56:AE56" si="74">+SUM(X48:X55)</f>
        <v>-318.32200000000012</v>
      </c>
      <c r="Y56" s="2">
        <f t="shared" si="74"/>
        <v>6984.2469999999994</v>
      </c>
      <c r="Z56" s="2">
        <f t="shared" si="74"/>
        <v>0</v>
      </c>
      <c r="AA56" s="2">
        <f t="shared" si="74"/>
        <v>0</v>
      </c>
      <c r="AB56" s="2">
        <f t="shared" si="74"/>
        <v>0</v>
      </c>
      <c r="AC56" s="2">
        <f t="shared" si="74"/>
        <v>0</v>
      </c>
      <c r="AD56" s="2">
        <f t="shared" si="74"/>
        <v>0</v>
      </c>
      <c r="AE56" s="2">
        <f t="shared" si="74"/>
        <v>0</v>
      </c>
    </row>
    <row r="57" spans="2:31" x14ac:dyDescent="0.2">
      <c r="C57" s="2"/>
      <c r="D57" s="2"/>
      <c r="E57" s="2"/>
      <c r="F57" s="2"/>
      <c r="G57" s="2"/>
      <c r="H57" s="2"/>
      <c r="I57" s="2"/>
      <c r="J57" s="2"/>
      <c r="K57" s="2"/>
      <c r="L57" s="2"/>
      <c r="M57" s="2"/>
      <c r="N57" s="2"/>
      <c r="O57" s="2"/>
      <c r="P57" s="2"/>
      <c r="U57" s="2"/>
      <c r="V57" s="2"/>
      <c r="W57" s="2"/>
      <c r="X57" s="2"/>
      <c r="Y57" s="2"/>
      <c r="Z57" s="2"/>
      <c r="AA57" s="2"/>
      <c r="AB57" s="2"/>
      <c r="AC57" s="2"/>
      <c r="AD57" s="2"/>
      <c r="AE57" s="2"/>
    </row>
    <row r="58" spans="2:31" x14ac:dyDescent="0.2">
      <c r="B58" s="1" t="s">
        <v>63</v>
      </c>
      <c r="C58" s="2"/>
      <c r="D58" s="2"/>
      <c r="E58" s="2"/>
      <c r="F58" s="2"/>
      <c r="G58" s="2"/>
      <c r="H58" s="2"/>
      <c r="I58" s="2"/>
      <c r="J58" s="2"/>
      <c r="K58" s="2">
        <v>4.2679999999999998</v>
      </c>
      <c r="L58" s="2">
        <v>3.1480000000000001</v>
      </c>
      <c r="M58" s="2"/>
      <c r="N58" s="2"/>
      <c r="O58" s="2">
        <v>1.016</v>
      </c>
      <c r="P58" s="2">
        <v>0.83899999999999997</v>
      </c>
      <c r="U58" s="2">
        <v>9.1690000000000005</v>
      </c>
      <c r="V58" s="2">
        <v>28.55</v>
      </c>
      <c r="W58" s="2">
        <v>14.404</v>
      </c>
      <c r="X58" s="2">
        <v>8.577</v>
      </c>
      <c r="Y58" s="2">
        <v>10.195</v>
      </c>
      <c r="Z58" s="2"/>
      <c r="AA58" s="2"/>
      <c r="AB58" s="2"/>
      <c r="AC58" s="2"/>
      <c r="AD58" s="2"/>
      <c r="AE58" s="2"/>
    </row>
    <row r="59" spans="2:31" x14ac:dyDescent="0.2">
      <c r="B59" s="1" t="s">
        <v>64</v>
      </c>
      <c r="C59" s="2"/>
      <c r="D59" s="2"/>
      <c r="E59" s="2"/>
      <c r="F59" s="2"/>
      <c r="G59" s="2"/>
      <c r="H59" s="2"/>
      <c r="I59" s="2"/>
      <c r="J59" s="2"/>
      <c r="K59" s="2">
        <v>2.7509999999999999</v>
      </c>
      <c r="L59" s="2">
        <f>32.513-1.492</f>
        <v>31.020999999999997</v>
      </c>
      <c r="M59" s="2"/>
      <c r="N59" s="2"/>
      <c r="O59" s="2">
        <v>6.5810000000000004</v>
      </c>
      <c r="P59" s="2">
        <f>34.263-3.722</f>
        <v>30.540999999999997</v>
      </c>
      <c r="U59" s="2">
        <f>48.547+15.482</f>
        <v>64.028999999999996</v>
      </c>
      <c r="V59" s="2">
        <f>4.088+38.433</f>
        <v>42.521000000000001</v>
      </c>
      <c r="W59" s="1">
        <f>59.331-40.004</f>
        <v>19.327000000000005</v>
      </c>
      <c r="X59" s="1">
        <f>53.71+0.774</f>
        <v>54.484000000000002</v>
      </c>
      <c r="Y59" s="1">
        <f>54.097-4.106</f>
        <v>49.991</v>
      </c>
      <c r="Z59" s="2"/>
      <c r="AA59" s="2"/>
      <c r="AB59" s="2"/>
      <c r="AC59" s="2"/>
      <c r="AD59" s="2"/>
      <c r="AE59" s="2"/>
    </row>
    <row r="60" spans="2:31" x14ac:dyDescent="0.2">
      <c r="B60" s="1" t="s">
        <v>65</v>
      </c>
      <c r="C60" s="2"/>
      <c r="D60" s="2"/>
      <c r="E60" s="2"/>
      <c r="F60" s="2"/>
      <c r="G60" s="2"/>
      <c r="H60" s="2"/>
      <c r="I60" s="2"/>
      <c r="J60" s="2"/>
      <c r="K60" s="2">
        <v>0</v>
      </c>
      <c r="L60" s="2">
        <v>0</v>
      </c>
      <c r="M60" s="2"/>
      <c r="N60" s="2"/>
      <c r="O60" s="2">
        <v>-150.048</v>
      </c>
      <c r="P60" s="2">
        <v>-287.64499999999998</v>
      </c>
      <c r="U60" s="2"/>
      <c r="V60" s="2"/>
      <c r="W60" s="2">
        <v>0</v>
      </c>
      <c r="X60" s="2">
        <v>-1000.003</v>
      </c>
      <c r="Y60" s="2">
        <v>0</v>
      </c>
      <c r="Z60" s="2"/>
      <c r="AA60" s="2"/>
      <c r="AB60" s="2"/>
      <c r="AC60" s="2"/>
      <c r="AD60" s="2"/>
      <c r="AE60" s="2"/>
    </row>
    <row r="61" spans="2:31" x14ac:dyDescent="0.2">
      <c r="B61" s="1" t="s">
        <v>68</v>
      </c>
      <c r="C61" s="2">
        <f t="shared" ref="C61:N61" si="75">+SUM(C58:C60)</f>
        <v>0</v>
      </c>
      <c r="D61" s="2">
        <f t="shared" si="75"/>
        <v>0</v>
      </c>
      <c r="E61" s="2">
        <f t="shared" si="75"/>
        <v>0</v>
      </c>
      <c r="F61" s="2">
        <f t="shared" si="75"/>
        <v>0</v>
      </c>
      <c r="G61" s="2">
        <f t="shared" si="75"/>
        <v>0</v>
      </c>
      <c r="H61" s="2">
        <f t="shared" si="75"/>
        <v>0</v>
      </c>
      <c r="I61" s="2">
        <f t="shared" si="75"/>
        <v>0</v>
      </c>
      <c r="J61" s="2">
        <f t="shared" si="75"/>
        <v>0</v>
      </c>
      <c r="K61" s="2">
        <f t="shared" si="75"/>
        <v>7.0190000000000001</v>
      </c>
      <c r="L61" s="2">
        <f t="shared" si="75"/>
        <v>34.168999999999997</v>
      </c>
      <c r="M61" s="2">
        <f t="shared" si="75"/>
        <v>0</v>
      </c>
      <c r="N61" s="2">
        <f t="shared" si="75"/>
        <v>0</v>
      </c>
      <c r="O61" s="2">
        <f>+SUM(O58:O60)</f>
        <v>-142.45099999999999</v>
      </c>
      <c r="P61" s="2">
        <f t="shared" ref="P61" si="76">+SUM(P58:P60)</f>
        <v>-256.26499999999999</v>
      </c>
      <c r="U61" s="2"/>
      <c r="V61" s="2"/>
      <c r="W61" s="2">
        <f t="shared" ref="W61:Y61" si="77">+SUM(W58:W60)</f>
        <v>33.731000000000009</v>
      </c>
      <c r="X61" s="2">
        <f t="shared" si="77"/>
        <v>-936.94200000000001</v>
      </c>
      <c r="Y61" s="2">
        <f t="shared" si="77"/>
        <v>60.186</v>
      </c>
      <c r="Z61" s="2"/>
      <c r="AA61" s="2"/>
      <c r="AB61" s="2"/>
      <c r="AC61" s="2"/>
      <c r="AD61" s="2"/>
      <c r="AE61" s="2"/>
    </row>
    <row r="62" spans="2:31" x14ac:dyDescent="0.2">
      <c r="B62" s="1" t="s">
        <v>69</v>
      </c>
      <c r="C62" s="2"/>
      <c r="D62" s="2"/>
      <c r="E62" s="2"/>
      <c r="F62" s="2"/>
      <c r="G62" s="2"/>
      <c r="H62" s="2"/>
      <c r="I62" s="2"/>
      <c r="J62" s="2"/>
      <c r="K62" s="2">
        <v>-2.5529999999999999</v>
      </c>
      <c r="L62" s="2">
        <v>-1.228</v>
      </c>
      <c r="M62" s="2"/>
      <c r="N62" s="2"/>
      <c r="O62" s="2">
        <v>-6.8520000000000003</v>
      </c>
      <c r="P62" s="2">
        <v>0.70599999999999996</v>
      </c>
      <c r="U62" s="2"/>
      <c r="V62" s="2"/>
      <c r="W62" s="2">
        <v>0</v>
      </c>
      <c r="X62" s="2">
        <v>-8.1080000000000005</v>
      </c>
      <c r="Y62" s="2">
        <v>-10.196</v>
      </c>
      <c r="Z62" s="2"/>
      <c r="AA62" s="2"/>
      <c r="AB62" s="2"/>
      <c r="AC62" s="2"/>
      <c r="AD62" s="2"/>
      <c r="AE62" s="2"/>
    </row>
    <row r="63" spans="2:31" x14ac:dyDescent="0.2">
      <c r="B63" s="1" t="s">
        <v>70</v>
      </c>
      <c r="C63" s="2"/>
      <c r="D63" s="2"/>
      <c r="E63" s="2"/>
      <c r="F63" s="2"/>
      <c r="G63" s="2"/>
      <c r="H63" s="2"/>
      <c r="I63" s="2"/>
      <c r="J63" s="2"/>
      <c r="K63" s="2">
        <v>-57.832999999999998</v>
      </c>
      <c r="L63" s="2">
        <f>+L46+L56+L61+L62</f>
        <v>349.55200000000002</v>
      </c>
      <c r="M63" s="2"/>
      <c r="N63" s="2"/>
      <c r="O63" s="2">
        <v>331.06400000000002</v>
      </c>
      <c r="P63" s="2">
        <f>+P46+P56+P61+P62</f>
        <v>-347.13499999999993</v>
      </c>
      <c r="U63" s="2"/>
      <c r="V63" s="2"/>
      <c r="W63" s="2">
        <v>-1219.7629999999999</v>
      </c>
      <c r="X63" s="2">
        <v>26.89</v>
      </c>
      <c r="Y63" s="2">
        <v>465.137</v>
      </c>
      <c r="Z63" s="2"/>
      <c r="AA63" s="2"/>
      <c r="AB63" s="2"/>
      <c r="AC63" s="2"/>
      <c r="AD63" s="2"/>
      <c r="AE63" s="2"/>
    </row>
    <row r="64" spans="2:31" x14ac:dyDescent="0.2">
      <c r="P64" s="2"/>
    </row>
    <row r="65" spans="2:31" x14ac:dyDescent="0.2">
      <c r="B65" s="3" t="s">
        <v>71</v>
      </c>
      <c r="C65" s="7">
        <f t="shared" ref="C65:N65" si="78">+C46+C51</f>
        <v>0</v>
      </c>
      <c r="D65" s="7">
        <f t="shared" si="78"/>
        <v>0</v>
      </c>
      <c r="E65" s="7">
        <f t="shared" si="78"/>
        <v>0</v>
      </c>
      <c r="F65" s="7">
        <f t="shared" si="78"/>
        <v>0</v>
      </c>
      <c r="G65" s="7">
        <f t="shared" si="78"/>
        <v>113.65799999999994</v>
      </c>
      <c r="H65" s="7">
        <f t="shared" si="78"/>
        <v>45.750000000000043</v>
      </c>
      <c r="I65" s="7">
        <f t="shared" si="78"/>
        <v>919.26599999999974</v>
      </c>
      <c r="J65" s="7">
        <f t="shared" si="78"/>
        <v>0</v>
      </c>
      <c r="K65" s="7">
        <f t="shared" si="78"/>
        <v>396.66100000000006</v>
      </c>
      <c r="L65" s="7">
        <f t="shared" si="78"/>
        <v>289.37099999999998</v>
      </c>
      <c r="M65" s="7">
        <f t="shared" si="78"/>
        <v>508.77899999999977</v>
      </c>
      <c r="N65" s="7">
        <f t="shared" si="78"/>
        <v>0</v>
      </c>
      <c r="O65" s="7">
        <f>+O46+O51</f>
        <v>569.68299999999954</v>
      </c>
      <c r="P65" s="7">
        <f>+P46+P51</f>
        <v>365.10000000000014</v>
      </c>
      <c r="U65" s="7">
        <f t="shared" ref="U65:V65" si="79">+U46+U52</f>
        <v>148.89199999999994</v>
      </c>
      <c r="V65" s="7">
        <f t="shared" si="79"/>
        <v>1458.1770000000001</v>
      </c>
      <c r="W65" s="7">
        <f>+W46+W52</f>
        <v>1300.1119999999992</v>
      </c>
      <c r="X65" s="7">
        <f t="shared" ref="X65:AA65" si="80">+X46+X52</f>
        <v>1221.1630999999998</v>
      </c>
      <c r="Y65" s="7">
        <f t="shared" si="80"/>
        <v>1528.3089999999997</v>
      </c>
      <c r="Z65" s="7">
        <f t="shared" si="80"/>
        <v>665.42282204719982</v>
      </c>
      <c r="AA65" s="7">
        <f t="shared" si="80"/>
        <v>727.48327499662275</v>
      </c>
      <c r="AB65" s="7">
        <f t="shared" ref="AB65:AE65" si="81">+AB46+AB51</f>
        <v>773.6020530083581</v>
      </c>
      <c r="AC65" s="7">
        <f t="shared" si="81"/>
        <v>802.13298639134109</v>
      </c>
      <c r="AD65" s="7">
        <f t="shared" si="81"/>
        <v>831.36739537702306</v>
      </c>
      <c r="AE65" s="7">
        <f t="shared" si="81"/>
        <v>861.31513653154161</v>
      </c>
    </row>
    <row r="66" spans="2:31" x14ac:dyDescent="0.2">
      <c r="B66" s="1" t="s">
        <v>72</v>
      </c>
      <c r="G66" s="2">
        <f t="shared" ref="G66:N66" si="82">+SUM(D65:G65)</f>
        <v>113.65799999999994</v>
      </c>
      <c r="H66" s="2">
        <f t="shared" si="82"/>
        <v>159.40799999999999</v>
      </c>
      <c r="I66" s="2">
        <f t="shared" si="82"/>
        <v>1078.6739999999998</v>
      </c>
      <c r="J66" s="2">
        <f t="shared" si="82"/>
        <v>1078.6739999999998</v>
      </c>
      <c r="K66" s="2">
        <f t="shared" si="82"/>
        <v>1361.6769999999997</v>
      </c>
      <c r="L66" s="2">
        <f t="shared" si="82"/>
        <v>1605.2979999999998</v>
      </c>
      <c r="M66" s="2">
        <f t="shared" si="82"/>
        <v>1194.8109999999997</v>
      </c>
      <c r="N66" s="2">
        <f t="shared" si="82"/>
        <v>1194.8109999999997</v>
      </c>
      <c r="O66" s="2">
        <f>+SUM(L65:O65)</f>
        <v>1367.8329999999992</v>
      </c>
      <c r="P66" s="2">
        <f>+SUM(M65:P65)</f>
        <v>1443.5619999999994</v>
      </c>
      <c r="R66" s="2"/>
      <c r="U66" s="2"/>
      <c r="V66" s="2"/>
      <c r="W66" s="2"/>
      <c r="X66" s="2"/>
      <c r="Y66" s="2"/>
      <c r="Z66" s="6"/>
      <c r="AA66" s="2"/>
      <c r="AB66" s="2"/>
      <c r="AC66" s="2"/>
      <c r="AD66" s="2"/>
      <c r="AE66" s="2"/>
    </row>
    <row r="67" spans="2:31" x14ac:dyDescent="0.2">
      <c r="W67" s="6"/>
      <c r="X67" s="6"/>
      <c r="Y67" s="6"/>
    </row>
    <row r="68" spans="2:31" x14ac:dyDescent="0.2">
      <c r="B68" s="1" t="s">
        <v>73</v>
      </c>
      <c r="C68" s="2">
        <f t="shared" ref="C68:J68" si="83">+C69+C70+C77</f>
        <v>0</v>
      </c>
      <c r="D68" s="2">
        <f t="shared" si="83"/>
        <v>0</v>
      </c>
      <c r="E68" s="2">
        <f t="shared" si="83"/>
        <v>0</v>
      </c>
      <c r="F68" s="2">
        <f t="shared" si="83"/>
        <v>0</v>
      </c>
      <c r="G68" s="2">
        <f t="shared" si="83"/>
        <v>0</v>
      </c>
      <c r="H68" s="2">
        <f t="shared" si="83"/>
        <v>0</v>
      </c>
      <c r="I68" s="2">
        <f t="shared" si="83"/>
        <v>0</v>
      </c>
      <c r="J68" s="2">
        <f t="shared" si="83"/>
        <v>0</v>
      </c>
      <c r="K68" s="2">
        <f>+K69+K70+K77</f>
        <v>7371.7070000000003</v>
      </c>
      <c r="L68" s="2">
        <f t="shared" ref="L68:P68" si="84">+L69+L70+L77</f>
        <v>0</v>
      </c>
      <c r="M68" s="2">
        <f t="shared" si="84"/>
        <v>0</v>
      </c>
      <c r="N68" s="2">
        <f t="shared" si="84"/>
        <v>0</v>
      </c>
      <c r="O68" s="2">
        <f t="shared" si="84"/>
        <v>7799.2629999999999</v>
      </c>
      <c r="P68" s="2">
        <f t="shared" si="84"/>
        <v>7958.5609999999997</v>
      </c>
      <c r="U68" s="2">
        <f t="shared" ref="U68" si="85">+U69+U70+U77</f>
        <v>855.19399999999996</v>
      </c>
      <c r="V68" s="2">
        <f t="shared" ref="V68" si="86">+V69+V70+V77</f>
        <v>4244.7129999999997</v>
      </c>
      <c r="W68" s="2">
        <f t="shared" ref="W68" si="87">+W69+W70+W77</f>
        <v>0</v>
      </c>
      <c r="X68" s="2">
        <f t="shared" ref="X68" si="88">+X69+X70+X77</f>
        <v>5811.6580000000004</v>
      </c>
      <c r="Y68" s="2">
        <f t="shared" ref="Y68" si="89">+Y69+Y70+Y77</f>
        <v>7371.7070000000003</v>
      </c>
      <c r="Z68" s="2">
        <f>+Y68+Z14</f>
        <v>8037.1298220471999</v>
      </c>
      <c r="AA68" s="2">
        <f t="shared" ref="AA68:AE68" si="90">+Z68+AA14</f>
        <v>8764.6130970438226</v>
      </c>
      <c r="AB68" s="2">
        <f t="shared" si="90"/>
        <v>9538.2151500521813</v>
      </c>
      <c r="AC68" s="2">
        <f t="shared" si="90"/>
        <v>10340.348136443523</v>
      </c>
      <c r="AD68" s="2">
        <f t="shared" si="90"/>
        <v>11171.715531820546</v>
      </c>
      <c r="AE68" s="2">
        <f t="shared" si="90"/>
        <v>12033.030668352087</v>
      </c>
    </row>
    <row r="69" spans="2:31" x14ac:dyDescent="0.2">
      <c r="B69" s="1" t="s">
        <v>4</v>
      </c>
      <c r="C69" s="2"/>
      <c r="D69" s="2"/>
      <c r="E69" s="2"/>
      <c r="F69" s="2"/>
      <c r="G69" s="2"/>
      <c r="H69" s="2"/>
      <c r="I69" s="2"/>
      <c r="J69" s="2"/>
      <c r="K69" s="2">
        <v>1558.252</v>
      </c>
      <c r="L69" s="2"/>
      <c r="M69" s="2"/>
      <c r="N69" s="2"/>
      <c r="O69" s="2">
        <v>1885.6030000000001</v>
      </c>
      <c r="P69" s="2">
        <v>1539.4570000000001</v>
      </c>
      <c r="U69" s="2">
        <v>283.13400000000001</v>
      </c>
      <c r="V69" s="2">
        <v>2240.3029999999999</v>
      </c>
      <c r="W69" s="2"/>
      <c r="X69" s="2">
        <v>1086.83</v>
      </c>
      <c r="Y69" s="2">
        <v>1558.252</v>
      </c>
      <c r="Z69" s="2"/>
      <c r="AA69" s="2"/>
      <c r="AB69" s="2"/>
      <c r="AC69" s="2"/>
      <c r="AD69" s="2"/>
      <c r="AE69" s="2"/>
    </row>
    <row r="70" spans="2:31" x14ac:dyDescent="0.2">
      <c r="B70" s="1" t="s">
        <v>74</v>
      </c>
      <c r="C70" s="2"/>
      <c r="D70" s="2"/>
      <c r="E70" s="2"/>
      <c r="F70" s="2"/>
      <c r="G70" s="2"/>
      <c r="H70" s="2"/>
      <c r="I70" s="2"/>
      <c r="J70" s="2"/>
      <c r="K70" s="2">
        <v>5404.2330000000002</v>
      </c>
      <c r="L70" s="2"/>
      <c r="M70" s="2"/>
      <c r="N70" s="2"/>
      <c r="O70" s="2">
        <v>5488.7370000000001</v>
      </c>
      <c r="P70" s="2">
        <v>5980.5749999999998</v>
      </c>
      <c r="U70" s="2">
        <v>572.05999999999995</v>
      </c>
      <c r="V70" s="2">
        <v>2004.41</v>
      </c>
      <c r="W70" s="2"/>
      <c r="X70" s="2">
        <v>4325.8360000000002</v>
      </c>
      <c r="Y70" s="2">
        <v>5404.2330000000002</v>
      </c>
      <c r="Z70" s="2"/>
      <c r="AA70" s="2"/>
      <c r="AB70" s="2"/>
      <c r="AC70" s="2"/>
      <c r="AD70" s="2"/>
      <c r="AE70" s="2"/>
    </row>
    <row r="71" spans="2:31" x14ac:dyDescent="0.2">
      <c r="B71" s="1" t="s">
        <v>48</v>
      </c>
      <c r="C71" s="2"/>
      <c r="D71" s="2"/>
      <c r="E71" s="2"/>
      <c r="F71" s="2"/>
      <c r="G71" s="2"/>
      <c r="H71" s="2"/>
      <c r="I71" s="2"/>
      <c r="J71" s="2"/>
      <c r="K71" s="2">
        <v>536.07799999999997</v>
      </c>
      <c r="L71" s="2"/>
      <c r="M71" s="2"/>
      <c r="N71" s="2"/>
      <c r="O71" s="2">
        <v>527.51499999999999</v>
      </c>
      <c r="P71" s="2">
        <v>528.23699999999997</v>
      </c>
      <c r="U71" s="2">
        <v>120.435</v>
      </c>
      <c r="V71" s="2">
        <v>294.70299999999997</v>
      </c>
      <c r="W71" s="2"/>
      <c r="X71" s="2">
        <v>557.404</v>
      </c>
      <c r="Y71" s="2">
        <v>536.07799999999997</v>
      </c>
      <c r="Z71" s="2"/>
      <c r="AA71" s="2"/>
      <c r="AB71" s="2"/>
      <c r="AC71" s="2"/>
      <c r="AD71" s="2"/>
      <c r="AE71" s="2"/>
    </row>
    <row r="72" spans="2:31" x14ac:dyDescent="0.2">
      <c r="B72" s="1" t="s">
        <v>75</v>
      </c>
      <c r="C72" s="2"/>
      <c r="D72" s="2"/>
      <c r="E72" s="2"/>
      <c r="F72" s="2"/>
      <c r="G72" s="2"/>
      <c r="H72" s="2"/>
      <c r="I72" s="2"/>
      <c r="J72" s="2"/>
      <c r="K72" s="2">
        <v>208.47399999999999</v>
      </c>
      <c r="L72" s="2"/>
      <c r="M72" s="2"/>
      <c r="N72" s="2"/>
      <c r="O72" s="2">
        <v>198.113</v>
      </c>
      <c r="P72" s="2">
        <v>197.50200000000001</v>
      </c>
      <c r="U72" s="2">
        <v>44.884999999999998</v>
      </c>
      <c r="V72" s="2">
        <v>136.63</v>
      </c>
      <c r="W72" s="2"/>
      <c r="X72" s="2">
        <v>223.25</v>
      </c>
      <c r="Y72" s="2">
        <v>208.47399999999999</v>
      </c>
      <c r="Z72" s="2"/>
      <c r="AA72" s="2"/>
      <c r="AB72" s="2"/>
      <c r="AC72" s="2"/>
      <c r="AD72" s="2"/>
      <c r="AE72" s="2"/>
    </row>
    <row r="73" spans="2:31" x14ac:dyDescent="0.2">
      <c r="B73" s="1" t="s">
        <v>76</v>
      </c>
      <c r="C73" s="2"/>
      <c r="D73" s="2"/>
      <c r="E73" s="2"/>
      <c r="F73" s="2"/>
      <c r="G73" s="2"/>
      <c r="H73" s="2"/>
      <c r="I73" s="2"/>
      <c r="J73" s="2"/>
      <c r="K73" s="2">
        <v>219.18199999999999</v>
      </c>
      <c r="L73" s="2"/>
      <c r="M73" s="2"/>
      <c r="N73" s="2"/>
      <c r="O73" s="2">
        <v>182.077</v>
      </c>
      <c r="P73" s="2">
        <v>149.374</v>
      </c>
      <c r="U73" s="2">
        <v>75.007999999999996</v>
      </c>
      <c r="V73" s="2">
        <v>116.819</v>
      </c>
      <c r="W73" s="2"/>
      <c r="X73" s="2">
        <v>163.09200000000001</v>
      </c>
      <c r="Y73" s="2">
        <v>219.18199999999999</v>
      </c>
      <c r="Z73" s="2"/>
      <c r="AA73" s="2"/>
      <c r="AB73" s="2"/>
      <c r="AC73" s="2"/>
      <c r="AD73" s="2"/>
      <c r="AE73" s="2"/>
    </row>
    <row r="74" spans="2:31" x14ac:dyDescent="0.2">
      <c r="B74" s="1" t="s">
        <v>77</v>
      </c>
      <c r="C74" s="2"/>
      <c r="D74" s="2"/>
      <c r="E74" s="2"/>
      <c r="F74" s="2"/>
      <c r="G74" s="2"/>
      <c r="H74" s="2"/>
      <c r="I74" s="2"/>
      <c r="J74" s="2"/>
      <c r="K74" s="2">
        <v>138.72399999999999</v>
      </c>
      <c r="L74" s="2"/>
      <c r="M74" s="2"/>
      <c r="N74" s="2"/>
      <c r="O74" s="2">
        <v>121.087</v>
      </c>
      <c r="P74" s="2">
        <v>120.60299999999999</v>
      </c>
      <c r="U74" s="2">
        <v>46.244999999999997</v>
      </c>
      <c r="V74" s="2">
        <v>157.262</v>
      </c>
      <c r="W74" s="2"/>
      <c r="X74" s="2">
        <v>179.99100000000001</v>
      </c>
      <c r="Y74" s="2">
        <v>138.72399999999999</v>
      </c>
      <c r="Z74" s="2"/>
      <c r="AA74" s="2"/>
      <c r="AB74" s="2"/>
      <c r="AC74" s="2"/>
      <c r="AD74" s="2"/>
      <c r="AE74" s="2"/>
    </row>
    <row r="75" spans="2:31" x14ac:dyDescent="0.2">
      <c r="B75" s="1" t="s">
        <v>78</v>
      </c>
      <c r="C75" s="2"/>
      <c r="D75" s="2"/>
      <c r="E75" s="2"/>
      <c r="F75" s="2"/>
      <c r="G75" s="2"/>
      <c r="H75" s="2"/>
      <c r="I75" s="2"/>
      <c r="J75" s="2"/>
      <c r="K75" s="2">
        <v>293.70400000000001</v>
      </c>
      <c r="L75" s="2"/>
      <c r="M75" s="2"/>
      <c r="N75" s="2"/>
      <c r="O75" s="2">
        <v>304.71199999999999</v>
      </c>
      <c r="P75" s="2">
        <v>347.714</v>
      </c>
      <c r="U75" s="2">
        <v>57.137999999999998</v>
      </c>
      <c r="V75" s="2">
        <v>149.92400000000001</v>
      </c>
      <c r="W75" s="2"/>
      <c r="X75" s="2">
        <v>252.821</v>
      </c>
      <c r="Y75" s="2">
        <v>293.70400000000001</v>
      </c>
      <c r="Z75" s="2"/>
      <c r="AA75" s="2"/>
      <c r="AB75" s="2"/>
      <c r="AC75" s="2"/>
      <c r="AD75" s="2"/>
      <c r="AE75" s="2"/>
    </row>
    <row r="76" spans="2:31" x14ac:dyDescent="0.2">
      <c r="B76" s="1" t="s">
        <v>79</v>
      </c>
      <c r="C76" s="2"/>
      <c r="D76" s="2"/>
      <c r="E76" s="2"/>
      <c r="F76" s="2"/>
      <c r="G76" s="2"/>
      <c r="H76" s="2"/>
      <c r="I76" s="2"/>
      <c r="J76" s="2"/>
      <c r="K76" s="2">
        <v>58.975000000000001</v>
      </c>
      <c r="L76" s="2"/>
      <c r="M76" s="2"/>
      <c r="N76" s="2"/>
      <c r="O76" s="2">
        <v>55.75</v>
      </c>
      <c r="P76" s="2">
        <v>53.045000000000002</v>
      </c>
      <c r="U76" s="2">
        <v>68.608000000000004</v>
      </c>
      <c r="V76" s="2">
        <v>97.649000000000001</v>
      </c>
      <c r="W76" s="2"/>
      <c r="X76" s="2">
        <v>80.906000000000006</v>
      </c>
      <c r="Y76" s="2">
        <v>58.975000000000001</v>
      </c>
      <c r="Z76" s="2"/>
      <c r="AA76" s="2"/>
      <c r="AB76" s="2"/>
      <c r="AC76" s="2"/>
      <c r="AD76" s="2"/>
      <c r="AE76" s="2"/>
    </row>
    <row r="77" spans="2:31" x14ac:dyDescent="0.2">
      <c r="B77" s="1" t="s">
        <v>80</v>
      </c>
      <c r="C77" s="2"/>
      <c r="D77" s="2"/>
      <c r="E77" s="2"/>
      <c r="F77" s="2"/>
      <c r="G77" s="2"/>
      <c r="H77" s="2"/>
      <c r="I77" s="2"/>
      <c r="J77" s="2"/>
      <c r="K77" s="2">
        <v>409.22199999999998</v>
      </c>
      <c r="L77" s="2"/>
      <c r="M77" s="2"/>
      <c r="N77" s="2"/>
      <c r="O77" s="2">
        <v>424.923</v>
      </c>
      <c r="P77" s="2">
        <v>438.529</v>
      </c>
      <c r="U77" s="2">
        <v>0</v>
      </c>
      <c r="V77" s="2">
        <v>0</v>
      </c>
      <c r="W77" s="2"/>
      <c r="X77" s="2">
        <v>398.99200000000002</v>
      </c>
      <c r="Y77" s="2">
        <v>409.22199999999998</v>
      </c>
      <c r="Z77" s="2"/>
      <c r="AA77" s="2"/>
      <c r="AB77" s="2"/>
      <c r="AC77" s="2"/>
      <c r="AD77" s="2"/>
      <c r="AE77" s="2"/>
    </row>
    <row r="78" spans="2:31" x14ac:dyDescent="0.2">
      <c r="B78" s="1" t="s">
        <v>81</v>
      </c>
      <c r="C78" s="2"/>
      <c r="D78" s="2"/>
      <c r="E78" s="2"/>
      <c r="F78" s="2"/>
      <c r="G78" s="2"/>
      <c r="H78" s="2"/>
      <c r="I78" s="2"/>
      <c r="J78" s="2"/>
      <c r="K78" s="2">
        <v>307.29500000000002</v>
      </c>
      <c r="L78" s="2"/>
      <c r="M78" s="2"/>
      <c r="N78" s="2"/>
      <c r="O78" s="2">
        <v>307.29500000000002</v>
      </c>
      <c r="P78" s="2">
        <v>307.29500000000002</v>
      </c>
      <c r="U78" s="2">
        <v>0</v>
      </c>
      <c r="V78" s="2">
        <v>24.34</v>
      </c>
      <c r="W78" s="2"/>
      <c r="X78" s="2">
        <v>122.64100000000001</v>
      </c>
      <c r="Y78" s="2">
        <v>307.29500000000002</v>
      </c>
      <c r="Z78" s="2"/>
      <c r="AA78" s="2"/>
      <c r="AB78" s="2"/>
      <c r="AC78" s="2"/>
      <c r="AD78" s="2"/>
      <c r="AE78" s="2"/>
    </row>
    <row r="79" spans="2:31" x14ac:dyDescent="0.2">
      <c r="B79" s="1" t="s">
        <v>66</v>
      </c>
      <c r="C79" s="2"/>
      <c r="D79" s="2"/>
      <c r="E79" s="2"/>
      <c r="F79" s="2"/>
      <c r="G79" s="2"/>
      <c r="H79" s="2"/>
      <c r="I79" s="2"/>
      <c r="J79" s="2"/>
      <c r="K79" s="2">
        <v>662.17700000000002</v>
      </c>
      <c r="L79" s="2"/>
      <c r="M79" s="2"/>
      <c r="N79" s="2"/>
      <c r="O79" s="2">
        <v>673.80799999999999</v>
      </c>
      <c r="P79" s="2">
        <v>718.06600000000003</v>
      </c>
      <c r="U79" s="2">
        <v>0</v>
      </c>
      <c r="V79" s="2">
        <v>0</v>
      </c>
      <c r="W79" s="2"/>
      <c r="X79" s="2">
        <v>558.428</v>
      </c>
      <c r="Y79" s="2">
        <v>662.17700000000002</v>
      </c>
      <c r="Z79" s="2"/>
      <c r="AA79" s="2"/>
      <c r="AB79" s="2"/>
      <c r="AC79" s="2"/>
      <c r="AD79" s="2"/>
      <c r="AE79" s="2"/>
    </row>
    <row r="80" spans="2:31" x14ac:dyDescent="0.2">
      <c r="B80" s="1" t="s">
        <v>82</v>
      </c>
      <c r="C80" s="2"/>
      <c r="D80" s="2"/>
      <c r="E80" s="2"/>
      <c r="F80" s="2"/>
      <c r="G80" s="2"/>
      <c r="H80" s="2"/>
      <c r="I80" s="2"/>
      <c r="J80" s="2"/>
      <c r="K80" s="2">
        <v>133.477</v>
      </c>
      <c r="L80" s="2"/>
      <c r="M80" s="2"/>
      <c r="N80" s="2"/>
      <c r="O80" s="2">
        <v>127.01</v>
      </c>
      <c r="P80" s="2">
        <v>126.795</v>
      </c>
      <c r="U80" s="2">
        <v>22.332000000000001</v>
      </c>
      <c r="V80" s="2">
        <v>75.953000000000003</v>
      </c>
      <c r="W80" s="2"/>
      <c r="X80" s="2">
        <v>177.874</v>
      </c>
      <c r="Y80" s="2">
        <v>133.477</v>
      </c>
      <c r="Z80" s="2"/>
      <c r="AA80" s="2"/>
      <c r="AB80" s="2"/>
      <c r="AC80" s="2"/>
      <c r="AD80" s="2"/>
      <c r="AE80" s="2"/>
    </row>
    <row r="81" spans="2:31" x14ac:dyDescent="0.2">
      <c r="B81" s="1" t="s">
        <v>86</v>
      </c>
      <c r="C81" s="2">
        <f t="shared" ref="C81:N81" si="91">+SUM(C69:C80)</f>
        <v>0</v>
      </c>
      <c r="D81" s="2">
        <f t="shared" si="91"/>
        <v>0</v>
      </c>
      <c r="E81" s="2">
        <f t="shared" si="91"/>
        <v>0</v>
      </c>
      <c r="F81" s="2">
        <f t="shared" si="91"/>
        <v>0</v>
      </c>
      <c r="G81" s="2">
        <f t="shared" si="91"/>
        <v>0</v>
      </c>
      <c r="H81" s="2">
        <f t="shared" si="91"/>
        <v>0</v>
      </c>
      <c r="I81" s="2">
        <f t="shared" si="91"/>
        <v>0</v>
      </c>
      <c r="J81" s="2">
        <f t="shared" si="91"/>
        <v>0</v>
      </c>
      <c r="K81" s="2">
        <f t="shared" si="91"/>
        <v>9929.7930000000015</v>
      </c>
      <c r="L81" s="2">
        <f t="shared" si="91"/>
        <v>0</v>
      </c>
      <c r="M81" s="2">
        <f t="shared" si="91"/>
        <v>0</v>
      </c>
      <c r="N81" s="2">
        <f t="shared" si="91"/>
        <v>0</v>
      </c>
      <c r="O81" s="2">
        <f>+SUM(O69:O80)</f>
        <v>10296.629999999999</v>
      </c>
      <c r="P81" s="2">
        <f t="shared" ref="P81" si="92">+SUM(P69:P80)</f>
        <v>10507.192000000001</v>
      </c>
      <c r="U81" s="2">
        <f t="shared" ref="U81:AE81" si="93">+SUM(U69:U80)</f>
        <v>1289.8449999999998</v>
      </c>
      <c r="V81" s="2">
        <f t="shared" si="93"/>
        <v>5297.9930000000004</v>
      </c>
      <c r="W81" s="2">
        <f t="shared" si="93"/>
        <v>0</v>
      </c>
      <c r="X81" s="2">
        <f t="shared" si="93"/>
        <v>8128.0649999999987</v>
      </c>
      <c r="Y81" s="2">
        <f t="shared" si="93"/>
        <v>9929.7930000000015</v>
      </c>
      <c r="Z81" s="2">
        <f t="shared" si="93"/>
        <v>0</v>
      </c>
      <c r="AA81" s="2">
        <f t="shared" si="93"/>
        <v>0</v>
      </c>
      <c r="AB81" s="2">
        <f t="shared" si="93"/>
        <v>0</v>
      </c>
      <c r="AC81" s="2">
        <f t="shared" si="93"/>
        <v>0</v>
      </c>
      <c r="AD81" s="2">
        <f t="shared" si="93"/>
        <v>0</v>
      </c>
      <c r="AE81" s="2">
        <f t="shared" si="93"/>
        <v>0</v>
      </c>
    </row>
    <row r="82" spans="2:31" x14ac:dyDescent="0.2">
      <c r="C82" s="2"/>
      <c r="D82" s="2"/>
      <c r="E82" s="2"/>
      <c r="F82" s="2"/>
      <c r="G82" s="2"/>
      <c r="H82" s="2"/>
      <c r="I82" s="2"/>
      <c r="J82" s="2"/>
      <c r="K82" s="2"/>
      <c r="L82" s="2"/>
      <c r="M82" s="2"/>
      <c r="N82" s="2"/>
      <c r="O82" s="2"/>
      <c r="P82" s="2"/>
      <c r="U82" s="2"/>
      <c r="V82" s="2"/>
      <c r="W82" s="2"/>
      <c r="X82" s="2"/>
      <c r="Y82" s="2"/>
      <c r="Z82" s="2"/>
      <c r="AA82" s="2"/>
      <c r="AB82" s="2"/>
      <c r="AC82" s="2"/>
      <c r="AD82" s="2"/>
      <c r="AE82" s="2"/>
    </row>
    <row r="83" spans="2:31" x14ac:dyDescent="0.2">
      <c r="B83" s="1" t="s">
        <v>51</v>
      </c>
      <c r="C83" s="2"/>
      <c r="D83" s="2"/>
      <c r="E83" s="2"/>
      <c r="F83" s="2"/>
      <c r="G83" s="2"/>
      <c r="H83" s="2"/>
      <c r="I83" s="2"/>
      <c r="J83" s="2"/>
      <c r="K83" s="2">
        <v>10.175000000000001</v>
      </c>
      <c r="L83" s="2"/>
      <c r="M83" s="2"/>
      <c r="N83" s="2"/>
      <c r="O83" s="2">
        <v>18.315000000000001</v>
      </c>
      <c r="P83" s="2">
        <v>10.611000000000001</v>
      </c>
      <c r="U83" s="2">
        <v>1.5960000000000001</v>
      </c>
      <c r="V83" s="2">
        <v>8.6639999999999997</v>
      </c>
      <c r="W83" s="2"/>
      <c r="X83" s="2">
        <v>14.414</v>
      </c>
      <c r="Y83" s="2">
        <v>10.175000000000001</v>
      </c>
      <c r="Z83" s="2"/>
      <c r="AA83" s="2"/>
      <c r="AB83" s="2"/>
      <c r="AC83" s="2"/>
      <c r="AD83" s="2"/>
      <c r="AE83" s="2"/>
    </row>
    <row r="84" spans="2:31" x14ac:dyDescent="0.2">
      <c r="B84" s="1" t="s">
        <v>52</v>
      </c>
      <c r="C84" s="2"/>
      <c r="D84" s="2"/>
      <c r="E84" s="2"/>
      <c r="F84" s="2"/>
      <c r="G84" s="2"/>
      <c r="H84" s="2"/>
      <c r="I84" s="2"/>
      <c r="J84" s="2"/>
      <c r="K84" s="2">
        <v>500.16399999999999</v>
      </c>
      <c r="L84" s="2"/>
      <c r="M84" s="2"/>
      <c r="N84" s="2"/>
      <c r="O84" s="2">
        <v>501.79899999999998</v>
      </c>
      <c r="P84" s="2">
        <v>439.459</v>
      </c>
      <c r="U84" s="2">
        <v>122.69199999999999</v>
      </c>
      <c r="V84" s="2">
        <v>393.01799999999997</v>
      </c>
      <c r="W84" s="2"/>
      <c r="X84" s="2">
        <v>457.71600000000001</v>
      </c>
      <c r="Y84" s="2">
        <v>500.16399999999999</v>
      </c>
      <c r="Z84" s="2"/>
      <c r="AA84" s="2"/>
      <c r="AB84" s="2"/>
      <c r="AC84" s="2"/>
      <c r="AD84" s="2"/>
      <c r="AE84" s="2"/>
    </row>
    <row r="85" spans="2:31" x14ac:dyDescent="0.2">
      <c r="B85" s="1" t="s">
        <v>83</v>
      </c>
      <c r="C85" s="2"/>
      <c r="D85" s="2"/>
      <c r="E85" s="2"/>
      <c r="F85" s="2"/>
      <c r="G85" s="2"/>
      <c r="H85" s="2"/>
      <c r="I85" s="2"/>
      <c r="J85" s="2"/>
      <c r="K85" s="2">
        <v>1251.848</v>
      </c>
      <c r="L85" s="2"/>
      <c r="M85" s="2"/>
      <c r="N85" s="2"/>
      <c r="O85" s="2">
        <v>1335.787</v>
      </c>
      <c r="P85" s="2">
        <v>1391.278</v>
      </c>
      <c r="U85" s="2">
        <v>209.542</v>
      </c>
      <c r="V85" s="2">
        <v>858.28399999999999</v>
      </c>
      <c r="W85" s="2"/>
      <c r="X85" s="2">
        <v>1266.5139999999999</v>
      </c>
      <c r="Y85" s="2">
        <v>1251.848</v>
      </c>
      <c r="Z85" s="2"/>
      <c r="AA85" s="2"/>
      <c r="AB85" s="2"/>
      <c r="AC85" s="2"/>
      <c r="AD85" s="2"/>
      <c r="AE85" s="2"/>
    </row>
    <row r="86" spans="2:31" x14ac:dyDescent="0.2">
      <c r="B86" s="1" t="s">
        <v>84</v>
      </c>
      <c r="C86" s="2"/>
      <c r="D86" s="2"/>
      <c r="E86" s="2"/>
      <c r="F86" s="2"/>
      <c r="G86" s="2"/>
      <c r="H86" s="2"/>
      <c r="I86" s="2"/>
      <c r="J86" s="2"/>
      <c r="K86" s="2">
        <v>18.513999999999999</v>
      </c>
      <c r="L86" s="2"/>
      <c r="M86" s="2"/>
      <c r="N86" s="2"/>
      <c r="O86" s="2">
        <v>16.405000000000001</v>
      </c>
      <c r="P86" s="2">
        <v>15.416</v>
      </c>
      <c r="U86" s="2">
        <v>20.994</v>
      </c>
      <c r="V86" s="2">
        <v>25.210999999999999</v>
      </c>
      <c r="W86" s="2"/>
      <c r="X86" s="2">
        <v>41.932000000000002</v>
      </c>
      <c r="Y86" s="2">
        <v>18.513999999999999</v>
      </c>
      <c r="Z86" s="2"/>
      <c r="AA86" s="2"/>
      <c r="AB86" s="2"/>
      <c r="AC86" s="2"/>
      <c r="AD86" s="2"/>
      <c r="AE86" s="2"/>
    </row>
    <row r="87" spans="2:31" x14ac:dyDescent="0.2">
      <c r="B87" s="1" t="s">
        <v>54</v>
      </c>
      <c r="C87" s="2"/>
      <c r="D87" s="2"/>
      <c r="E87" s="2"/>
      <c r="F87" s="2"/>
      <c r="G87" s="2"/>
      <c r="H87" s="2"/>
      <c r="I87" s="2"/>
      <c r="J87" s="2"/>
      <c r="K87" s="2">
        <v>48.308</v>
      </c>
      <c r="L87" s="2"/>
      <c r="M87" s="2"/>
      <c r="N87" s="2"/>
      <c r="O87" s="2">
        <v>40.283999999999999</v>
      </c>
      <c r="P87" s="2">
        <v>36.052</v>
      </c>
      <c r="U87" s="2">
        <v>64.792000000000002</v>
      </c>
      <c r="V87" s="2">
        <v>90.415000000000006</v>
      </c>
      <c r="W87" s="2"/>
      <c r="X87" s="2">
        <v>73.686999999999998</v>
      </c>
      <c r="Y87" s="2">
        <v>48.308</v>
      </c>
      <c r="Z87" s="2"/>
      <c r="AA87" s="2"/>
      <c r="AB87" s="2"/>
      <c r="AC87" s="2"/>
      <c r="AD87" s="2"/>
      <c r="AE87" s="2"/>
    </row>
    <row r="88" spans="2:31" x14ac:dyDescent="0.2">
      <c r="B88" s="1" t="s">
        <v>89</v>
      </c>
      <c r="C88" s="2"/>
      <c r="D88" s="2"/>
      <c r="E88" s="2"/>
      <c r="F88" s="2"/>
      <c r="G88" s="2"/>
      <c r="H88" s="2"/>
      <c r="I88" s="2"/>
      <c r="J88" s="2"/>
      <c r="K88" s="2">
        <v>81.378</v>
      </c>
      <c r="L88" s="2"/>
      <c r="M88" s="2"/>
      <c r="N88" s="2"/>
      <c r="O88" s="2">
        <v>85.215999999999994</v>
      </c>
      <c r="P88" s="2">
        <v>89.129000000000005</v>
      </c>
      <c r="U88" s="2">
        <v>36.286000000000001</v>
      </c>
      <c r="V88" s="2">
        <v>61.634</v>
      </c>
      <c r="W88" s="2"/>
      <c r="X88" s="2">
        <v>67.194999999999993</v>
      </c>
      <c r="Y88" s="2">
        <v>81.378</v>
      </c>
      <c r="Z88" s="2"/>
      <c r="AA88" s="2"/>
      <c r="AB88" s="2"/>
      <c r="AC88" s="2"/>
      <c r="AD88" s="2"/>
      <c r="AE88" s="2"/>
    </row>
    <row r="89" spans="2:31" x14ac:dyDescent="0.2">
      <c r="B89" s="1" t="s">
        <v>85</v>
      </c>
      <c r="C89" s="2">
        <f t="shared" ref="C89:N89" si="94">+SUM(C83:C88)</f>
        <v>0</v>
      </c>
      <c r="D89" s="2">
        <f t="shared" si="94"/>
        <v>0</v>
      </c>
      <c r="E89" s="2">
        <f t="shared" si="94"/>
        <v>0</v>
      </c>
      <c r="F89" s="2">
        <f t="shared" si="94"/>
        <v>0</v>
      </c>
      <c r="G89" s="2">
        <f t="shared" si="94"/>
        <v>0</v>
      </c>
      <c r="H89" s="2">
        <f t="shared" si="94"/>
        <v>0</v>
      </c>
      <c r="I89" s="2">
        <f t="shared" si="94"/>
        <v>0</v>
      </c>
      <c r="J89" s="2">
        <f t="shared" si="94"/>
        <v>0</v>
      </c>
      <c r="K89" s="2">
        <f t="shared" si="94"/>
        <v>1910.3869999999997</v>
      </c>
      <c r="L89" s="2">
        <f t="shared" si="94"/>
        <v>0</v>
      </c>
      <c r="M89" s="2">
        <f t="shared" si="94"/>
        <v>0</v>
      </c>
      <c r="N89" s="2">
        <f t="shared" si="94"/>
        <v>0</v>
      </c>
      <c r="O89" s="2">
        <f>+SUM(O83:O88)</f>
        <v>1997.806</v>
      </c>
      <c r="P89" s="2">
        <f t="shared" ref="P89" si="95">+SUM(P83:P88)</f>
        <v>1981.9449999999997</v>
      </c>
      <c r="U89" s="2">
        <f t="shared" ref="U89:AE89" si="96">+SUM(U83:U88)</f>
        <v>455.90199999999999</v>
      </c>
      <c r="V89" s="2">
        <f t="shared" si="96"/>
        <v>1437.2259999999999</v>
      </c>
      <c r="W89" s="2">
        <f t="shared" si="96"/>
        <v>0</v>
      </c>
      <c r="X89" s="2">
        <f t="shared" si="96"/>
        <v>1921.4579999999996</v>
      </c>
      <c r="Y89" s="2">
        <f t="shared" si="96"/>
        <v>1910.3869999999997</v>
      </c>
      <c r="Z89" s="2">
        <f t="shared" si="96"/>
        <v>0</v>
      </c>
      <c r="AA89" s="2">
        <f t="shared" si="96"/>
        <v>0</v>
      </c>
      <c r="AB89" s="2">
        <f t="shared" si="96"/>
        <v>0</v>
      </c>
      <c r="AC89" s="2">
        <f t="shared" si="96"/>
        <v>0</v>
      </c>
      <c r="AD89" s="2">
        <f t="shared" si="96"/>
        <v>0</v>
      </c>
      <c r="AE89" s="2">
        <f t="shared" si="96"/>
        <v>0</v>
      </c>
    </row>
    <row r="90" spans="2:31" x14ac:dyDescent="0.2">
      <c r="B90" s="1" t="s">
        <v>87</v>
      </c>
      <c r="C90" s="2"/>
      <c r="D90" s="2"/>
      <c r="E90" s="2"/>
      <c r="F90" s="2"/>
      <c r="G90" s="2"/>
      <c r="H90" s="2"/>
      <c r="I90" s="2"/>
      <c r="J90" s="2"/>
      <c r="K90" s="2">
        <v>8019.4059999999999</v>
      </c>
      <c r="L90" s="2"/>
      <c r="M90" s="2"/>
      <c r="N90" s="2"/>
      <c r="O90" s="2">
        <v>8298.8240000000005</v>
      </c>
      <c r="P90" s="2">
        <v>8525.2469999999994</v>
      </c>
      <c r="U90" s="2">
        <v>833.94299999999998</v>
      </c>
      <c r="V90" s="2">
        <v>3860.7669999999998</v>
      </c>
      <c r="W90" s="2"/>
      <c r="X90" s="2">
        <v>6206.607</v>
      </c>
      <c r="Y90" s="2">
        <v>8019.4059999999999</v>
      </c>
      <c r="Z90" s="2"/>
      <c r="AA90" s="2"/>
      <c r="AB90" s="2"/>
      <c r="AC90" s="2"/>
      <c r="AD90" s="2"/>
      <c r="AE90" s="2"/>
    </row>
    <row r="91" spans="2:31" x14ac:dyDescent="0.2">
      <c r="B91" s="1" t="s">
        <v>88</v>
      </c>
      <c r="C91" s="2">
        <f t="shared" ref="C91:N91" si="97">+C89+C90</f>
        <v>0</v>
      </c>
      <c r="D91" s="2">
        <f t="shared" si="97"/>
        <v>0</v>
      </c>
      <c r="E91" s="2">
        <f t="shared" si="97"/>
        <v>0</v>
      </c>
      <c r="F91" s="2">
        <f t="shared" si="97"/>
        <v>0</v>
      </c>
      <c r="G91" s="2">
        <f t="shared" si="97"/>
        <v>0</v>
      </c>
      <c r="H91" s="2">
        <f t="shared" si="97"/>
        <v>0</v>
      </c>
      <c r="I91" s="2">
        <f t="shared" si="97"/>
        <v>0</v>
      </c>
      <c r="J91" s="2">
        <f t="shared" si="97"/>
        <v>0</v>
      </c>
      <c r="K91" s="2">
        <f t="shared" si="97"/>
        <v>9929.7929999999997</v>
      </c>
      <c r="L91" s="2">
        <f t="shared" si="97"/>
        <v>0</v>
      </c>
      <c r="M91" s="2">
        <f t="shared" si="97"/>
        <v>0</v>
      </c>
      <c r="N91" s="2">
        <f t="shared" si="97"/>
        <v>0</v>
      </c>
      <c r="O91" s="2">
        <f>+O89+O90</f>
        <v>10296.630000000001</v>
      </c>
      <c r="P91" s="2">
        <f t="shared" ref="P91" si="98">+P89+P90</f>
        <v>10507.191999999999</v>
      </c>
      <c r="U91" s="2">
        <f t="shared" ref="U91:AE91" si="99">+U89+U90</f>
        <v>1289.845</v>
      </c>
      <c r="V91" s="2">
        <f t="shared" si="99"/>
        <v>5297.9929999999995</v>
      </c>
      <c r="W91" s="2">
        <f t="shared" si="99"/>
        <v>0</v>
      </c>
      <c r="X91" s="2">
        <f t="shared" si="99"/>
        <v>8128.0649999999996</v>
      </c>
      <c r="Y91" s="2">
        <f t="shared" si="99"/>
        <v>9929.7929999999997</v>
      </c>
      <c r="Z91" s="2">
        <f t="shared" si="99"/>
        <v>0</v>
      </c>
      <c r="AA91" s="2">
        <f t="shared" si="99"/>
        <v>0</v>
      </c>
      <c r="AB91" s="2">
        <f t="shared" si="99"/>
        <v>0</v>
      </c>
      <c r="AC91" s="2">
        <f t="shared" si="99"/>
        <v>0</v>
      </c>
      <c r="AD91" s="2">
        <f t="shared" si="99"/>
        <v>0</v>
      </c>
      <c r="AE91" s="2">
        <f t="shared" si="99"/>
        <v>0</v>
      </c>
    </row>
    <row r="93" spans="2:31" x14ac:dyDescent="0.2">
      <c r="B93" s="1" t="s">
        <v>119</v>
      </c>
      <c r="C93" s="2"/>
      <c r="D93" s="2"/>
      <c r="E93" s="2"/>
      <c r="F93" s="2"/>
      <c r="G93" s="2"/>
      <c r="H93" s="2"/>
      <c r="I93" s="2"/>
      <c r="J93" s="2"/>
      <c r="K93" s="2"/>
      <c r="L93" s="2"/>
      <c r="M93" s="2"/>
      <c r="N93" s="2"/>
      <c r="O93" s="2"/>
      <c r="P93" s="2">
        <v>3933</v>
      </c>
    </row>
    <row r="94" spans="2:31" x14ac:dyDescent="0.2">
      <c r="B94" s="1" t="s">
        <v>120</v>
      </c>
      <c r="C94" s="2"/>
      <c r="D94" s="2"/>
      <c r="E94" s="2"/>
      <c r="F94" s="2"/>
      <c r="G94" s="2"/>
      <c r="H94" s="2"/>
      <c r="I94" s="2"/>
      <c r="J94" s="2"/>
      <c r="K94" s="2"/>
      <c r="L94" s="2"/>
      <c r="M94" s="2"/>
      <c r="N94" s="2"/>
      <c r="O94" s="2"/>
      <c r="P94" s="2">
        <v>191600</v>
      </c>
    </row>
  </sheetData>
  <hyperlinks>
    <hyperlink ref="A1" location="main!A1" display="main" xr:uid="{6F89C1C1-E0C8-4D72-B3F7-13BE4185D76B}"/>
  </hyperlink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alexandreduartemorais@gmail.com</dc:creator>
  <cp:lastModifiedBy>Alexandre Duarte Morais</cp:lastModifiedBy>
  <dcterms:created xsi:type="dcterms:W3CDTF">2024-08-17T21:01:19Z</dcterms:created>
  <dcterms:modified xsi:type="dcterms:W3CDTF">2024-12-28T20:28:32Z</dcterms:modified>
</cp:coreProperties>
</file>