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276" documentId="8_{125B99D2-1029-4576-93ED-FEC504E46C18}" xr6:coauthVersionLast="47" xr6:coauthVersionMax="47" xr10:uidLastSave="{9DE94D5B-8864-4799-8E2D-45638096D821}"/>
  <bookViews>
    <workbookView xWindow="11424" yWindow="0" windowWidth="11712" windowHeight="12336" activeTab="1" xr2:uid="{D7175E23-253B-4964-B786-C9066BD00AEB}"/>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2" l="1"/>
  <c r="H4" i="2"/>
  <c r="G4" i="2"/>
  <c r="F4" i="2"/>
  <c r="J4" i="2"/>
  <c r="K14" i="2"/>
  <c r="K18" i="2"/>
  <c r="L18" i="2" s="1"/>
  <c r="M18" i="2" s="1"/>
  <c r="N18" i="2" s="1"/>
  <c r="O18" i="2" s="1"/>
  <c r="P18" i="2" s="1"/>
  <c r="Q18" i="2" s="1"/>
  <c r="R18" i="2" s="1"/>
  <c r="J39" i="2"/>
  <c r="J37" i="2"/>
  <c r="I37" i="2"/>
  <c r="H37" i="2"/>
  <c r="G37" i="2"/>
  <c r="F37" i="2"/>
  <c r="E37" i="2"/>
  <c r="D37" i="2"/>
  <c r="C37" i="2"/>
  <c r="J36" i="2"/>
  <c r="I36" i="2"/>
  <c r="H36" i="2"/>
  <c r="G36" i="2"/>
  <c r="F36" i="2"/>
  <c r="E36" i="2"/>
  <c r="D36" i="2"/>
  <c r="C36" i="2"/>
  <c r="J35" i="2"/>
  <c r="I35" i="2"/>
  <c r="H35" i="2"/>
  <c r="G35" i="2"/>
  <c r="F35" i="2"/>
  <c r="E35" i="2"/>
  <c r="D35" i="2"/>
  <c r="C35" i="2"/>
  <c r="K11" i="2"/>
  <c r="L11" i="2" s="1"/>
  <c r="M11" i="2" s="1"/>
  <c r="N11" i="2" s="1"/>
  <c r="O11" i="2" s="1"/>
  <c r="P11" i="2" s="1"/>
  <c r="Q11" i="2" s="1"/>
  <c r="R11" i="2" s="1"/>
  <c r="K6" i="2"/>
  <c r="K7" i="2" s="1"/>
  <c r="G29" i="2"/>
  <c r="F29" i="2"/>
  <c r="F24" i="2"/>
  <c r="D23" i="2"/>
  <c r="E29" i="2"/>
  <c r="D29" i="2"/>
  <c r="C29" i="2"/>
  <c r="H21" i="2"/>
  <c r="G21" i="2"/>
  <c r="F21" i="2"/>
  <c r="E21" i="2"/>
  <c r="D21" i="2"/>
  <c r="G12" i="2"/>
  <c r="F12" i="2"/>
  <c r="F13" i="2" s="1"/>
  <c r="F15" i="2" s="1"/>
  <c r="F17" i="2" s="1"/>
  <c r="F19" i="2" s="1"/>
  <c r="E12" i="2"/>
  <c r="E13" i="2" s="1"/>
  <c r="E24" i="2" s="1"/>
  <c r="D12" i="2"/>
  <c r="D13" i="2" s="1"/>
  <c r="D24" i="2" s="1"/>
  <c r="C12" i="2"/>
  <c r="G8" i="2"/>
  <c r="G23" i="2" s="1"/>
  <c r="F8" i="2"/>
  <c r="F23" i="2" s="1"/>
  <c r="E8" i="2"/>
  <c r="E23" i="2" s="1"/>
  <c r="D8" i="2"/>
  <c r="C8" i="2"/>
  <c r="C23" i="2" s="1"/>
  <c r="J29" i="2"/>
  <c r="I29" i="2"/>
  <c r="H29" i="2"/>
  <c r="I21" i="2"/>
  <c r="J21" i="2"/>
  <c r="I12" i="2"/>
  <c r="H12" i="2"/>
  <c r="J12" i="2"/>
  <c r="I8" i="2"/>
  <c r="I13" i="2" s="1"/>
  <c r="H8" i="2"/>
  <c r="H13" i="2" s="1"/>
  <c r="J8" i="2"/>
  <c r="E2" i="2"/>
  <c r="F2" i="2" s="1"/>
  <c r="G2" i="2" s="1"/>
  <c r="H2" i="2" s="1"/>
  <c r="I2" i="2" s="1"/>
  <c r="J2" i="2" s="1"/>
  <c r="K2" i="2" s="1"/>
  <c r="L2" i="2" s="1"/>
  <c r="M2" i="2" s="1"/>
  <c r="N2" i="2" s="1"/>
  <c r="O2" i="2" s="1"/>
  <c r="P2" i="2" s="1"/>
  <c r="Q2" i="2" s="1"/>
  <c r="R2" i="2" s="1"/>
  <c r="J6" i="1"/>
  <c r="J4" i="1"/>
  <c r="J3" i="1" a="1"/>
  <c r="J3" i="1" s="1"/>
  <c r="J5" i="1" s="1"/>
  <c r="J8" i="1" s="1"/>
  <c r="K21" i="2" l="1"/>
  <c r="K9" i="2"/>
  <c r="F25" i="2"/>
  <c r="E15" i="2"/>
  <c r="E17" i="2" s="1"/>
  <c r="D15" i="2"/>
  <c r="D17" i="2" s="1"/>
  <c r="K10" i="2"/>
  <c r="K12" i="2" s="1"/>
  <c r="L6" i="2"/>
  <c r="L21" i="2" s="1"/>
  <c r="K8" i="2"/>
  <c r="K23" i="2" s="1"/>
  <c r="J13" i="2"/>
  <c r="J15" i="2" s="1"/>
  <c r="J17" i="2" s="1"/>
  <c r="C13" i="2"/>
  <c r="G13" i="2"/>
  <c r="H15" i="2"/>
  <c r="H17" i="2" s="1"/>
  <c r="H24" i="2"/>
  <c r="I24" i="2"/>
  <c r="I15" i="2"/>
  <c r="I17" i="2" s="1"/>
  <c r="J23" i="2"/>
  <c r="H23" i="2"/>
  <c r="I23" i="2"/>
  <c r="K13" i="2" l="1"/>
  <c r="J24" i="2"/>
  <c r="G15" i="2"/>
  <c r="G17" i="2" s="1"/>
  <c r="G24" i="2"/>
  <c r="C24" i="2"/>
  <c r="C15" i="2"/>
  <c r="C17" i="2" s="1"/>
  <c r="M6" i="2"/>
  <c r="M21" i="2" s="1"/>
  <c r="L10" i="2"/>
  <c r="L9" i="2"/>
  <c r="L12" i="2" s="1"/>
  <c r="L7" i="2"/>
  <c r="L8" i="2" s="1"/>
  <c r="L23" i="2" s="1"/>
  <c r="D19" i="2"/>
  <c r="D25" i="2"/>
  <c r="E25" i="2"/>
  <c r="E19" i="2"/>
  <c r="I19" i="2"/>
  <c r="I25" i="2"/>
  <c r="H25" i="2"/>
  <c r="H19" i="2"/>
  <c r="J19" i="2"/>
  <c r="J25" i="2"/>
  <c r="K15" i="2" l="1"/>
  <c r="K24" i="2"/>
  <c r="L13" i="2"/>
  <c r="C25" i="2"/>
  <c r="C19" i="2"/>
  <c r="N6" i="2"/>
  <c r="N21" i="2" s="1"/>
  <c r="M7" i="2"/>
  <c r="M8" i="2" s="1"/>
  <c r="M23" i="2" s="1"/>
  <c r="M10" i="2"/>
  <c r="M9" i="2"/>
  <c r="M12" i="2" s="1"/>
  <c r="G19" i="2"/>
  <c r="G25" i="2"/>
  <c r="M13" i="2" l="1"/>
  <c r="L24" i="2"/>
  <c r="K16" i="2"/>
  <c r="K17" i="2" s="1"/>
  <c r="O6" i="2"/>
  <c r="O21" i="2" s="1"/>
  <c r="N9" i="2"/>
  <c r="N7" i="2"/>
  <c r="N8" i="2" s="1"/>
  <c r="N23" i="2" s="1"/>
  <c r="N10" i="2"/>
  <c r="K39" i="2" l="1"/>
  <c r="L14" i="2"/>
  <c r="L15" i="2" s="1"/>
  <c r="K25" i="2"/>
  <c r="K19" i="2"/>
  <c r="M24" i="2"/>
  <c r="N12" i="2"/>
  <c r="N13" i="2" s="1"/>
  <c r="P6" i="2"/>
  <c r="O7" i="2"/>
  <c r="O10" i="2"/>
  <c r="O9" i="2"/>
  <c r="O12" i="2" s="1"/>
  <c r="O8" i="2"/>
  <c r="O23" i="2" s="1"/>
  <c r="L16" i="2" l="1"/>
  <c r="L17" i="2" s="1"/>
  <c r="P21" i="2"/>
  <c r="Q6" i="2"/>
  <c r="N24" i="2"/>
  <c r="O13" i="2"/>
  <c r="P10" i="2"/>
  <c r="P7" i="2"/>
  <c r="P8" i="2" s="1"/>
  <c r="P23" i="2" s="1"/>
  <c r="P9" i="2"/>
  <c r="P12" i="2" s="1"/>
  <c r="L39" i="2" l="1"/>
  <c r="L19" i="2"/>
  <c r="L25" i="2"/>
  <c r="O24" i="2"/>
  <c r="Q10" i="2"/>
  <c r="Q21" i="2"/>
  <c r="Q7" i="2"/>
  <c r="R6" i="2"/>
  <c r="Q8" i="2"/>
  <c r="Q9" i="2"/>
  <c r="Q12" i="2" s="1"/>
  <c r="P13" i="2"/>
  <c r="M14" i="2" l="1"/>
  <c r="M15" i="2" s="1"/>
  <c r="M16" i="2" s="1"/>
  <c r="M17" i="2" s="1"/>
  <c r="P24" i="2"/>
  <c r="Q23" i="2"/>
  <c r="Q13" i="2"/>
  <c r="R21" i="2"/>
  <c r="R10" i="2"/>
  <c r="R9" i="2"/>
  <c r="R12" i="2" s="1"/>
  <c r="R7" i="2"/>
  <c r="R8" i="2" s="1"/>
  <c r="M19" i="2" l="1"/>
  <c r="M25" i="2"/>
  <c r="M39" i="2"/>
  <c r="R13" i="2"/>
  <c r="R23" i="2"/>
  <c r="Q24" i="2"/>
  <c r="N14" i="2" l="1"/>
  <c r="N15" i="2" s="1"/>
  <c r="N16" i="2" s="1"/>
  <c r="N17" i="2" s="1"/>
  <c r="R24" i="2"/>
  <c r="N19" i="2" l="1"/>
  <c r="N25" i="2"/>
  <c r="N39" i="2"/>
  <c r="O14" i="2" l="1"/>
  <c r="O15" i="2" s="1"/>
  <c r="O16" i="2" s="1"/>
  <c r="O17" i="2" s="1"/>
  <c r="O25" i="2" l="1"/>
  <c r="O19" i="2"/>
  <c r="O39" i="2"/>
  <c r="P14" i="2" l="1"/>
  <c r="P15" i="2" s="1"/>
  <c r="P16" i="2" s="1"/>
  <c r="P17" i="2" s="1"/>
  <c r="P25" i="2" l="1"/>
  <c r="P19" i="2"/>
  <c r="P39" i="2"/>
  <c r="Q14" i="2" l="1"/>
  <c r="Q15" i="2" s="1"/>
  <c r="Q16" i="2" s="1"/>
  <c r="Q17" i="2" s="1"/>
  <c r="Q25" i="2" l="1"/>
  <c r="Q19" i="2"/>
  <c r="Q39" i="2"/>
  <c r="R14" i="2" l="1"/>
  <c r="R15" i="2" s="1"/>
  <c r="R16" i="2" l="1"/>
  <c r="R17" i="2" s="1"/>
  <c r="S17" i="2" s="1"/>
  <c r="T17" i="2" s="1"/>
  <c r="U17" i="2" s="1"/>
  <c r="V17" i="2" s="1"/>
  <c r="W17" i="2" s="1"/>
  <c r="X17" i="2" s="1"/>
  <c r="Y17" i="2" s="1"/>
  <c r="Z17" i="2" s="1"/>
  <c r="AA17" i="2" s="1"/>
  <c r="AB17" i="2" s="1"/>
  <c r="AC17" i="2" s="1"/>
  <c r="AD17" i="2" s="1"/>
  <c r="AE17" i="2" s="1"/>
  <c r="AF17" i="2" s="1"/>
  <c r="AG17" i="2" s="1"/>
  <c r="AH17" i="2" s="1"/>
  <c r="AI17" i="2" s="1"/>
  <c r="AJ17" i="2" s="1"/>
  <c r="AK17" i="2" s="1"/>
  <c r="AL17" i="2" s="1"/>
  <c r="AM17" i="2" s="1"/>
  <c r="AN17" i="2" s="1"/>
  <c r="AO17" i="2" s="1"/>
  <c r="AP17" i="2" s="1"/>
  <c r="AQ17" i="2" s="1"/>
  <c r="AR17" i="2" s="1"/>
  <c r="AS17" i="2" s="1"/>
  <c r="AT17" i="2" s="1"/>
  <c r="AU17" i="2" s="1"/>
  <c r="AV17" i="2" s="1"/>
  <c r="U30" i="2" s="1"/>
  <c r="U31" i="2" s="1"/>
  <c r="R19" i="2" l="1"/>
  <c r="R25" i="2"/>
  <c r="R39"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<sst xmlns="http://schemas.openxmlformats.org/spreadsheetml/2006/main" count="49" uniqueCount="44">
  <si>
    <t>Ticket</t>
  </si>
  <si>
    <t>Price</t>
  </si>
  <si>
    <t>Shares</t>
  </si>
  <si>
    <t>MC</t>
  </si>
  <si>
    <t>Cash</t>
  </si>
  <si>
    <t>Debt</t>
  </si>
  <si>
    <t>EV</t>
  </si>
  <si>
    <t>main</t>
  </si>
  <si>
    <t>Revenue</t>
  </si>
  <si>
    <t>COGS</t>
  </si>
  <si>
    <t>Gross Profit</t>
  </si>
  <si>
    <t>R&amp;D</t>
  </si>
  <si>
    <t>S&amp;M</t>
  </si>
  <si>
    <t>G&amp;A</t>
  </si>
  <si>
    <t>Total Opex</t>
  </si>
  <si>
    <t>Operating Income</t>
  </si>
  <si>
    <t>Net Interest</t>
  </si>
  <si>
    <t>Pretax Income</t>
  </si>
  <si>
    <t>Taxes</t>
  </si>
  <si>
    <t>Net Income</t>
  </si>
  <si>
    <t>EPS</t>
  </si>
  <si>
    <t>Revenue y/y</t>
  </si>
  <si>
    <t>Gross Margin</t>
  </si>
  <si>
    <t>Operating Margin</t>
  </si>
  <si>
    <t>Net Margin</t>
  </si>
  <si>
    <t>CFFO</t>
  </si>
  <si>
    <t>Capex</t>
  </si>
  <si>
    <t>FCF</t>
  </si>
  <si>
    <t>Buybacks</t>
  </si>
  <si>
    <t>Dividends</t>
  </si>
  <si>
    <t>% sales</t>
  </si>
  <si>
    <t>Net Cash</t>
  </si>
  <si>
    <t>Family of Apps</t>
  </si>
  <si>
    <t>Facebook</t>
  </si>
  <si>
    <t>Instagram</t>
  </si>
  <si>
    <t>Messenger</t>
  </si>
  <si>
    <t>WhatsApp</t>
  </si>
  <si>
    <t>Reality Labs</t>
  </si>
  <si>
    <t>DAU</t>
  </si>
  <si>
    <t>Employees</t>
  </si>
  <si>
    <t>Discount</t>
  </si>
  <si>
    <t>Maturity</t>
  </si>
  <si>
    <t>ROIC</t>
  </si>
  <si>
    <t>NPV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</si>
</sst>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_([$$-409]* #,##0.00_);_([$$-409]* \(#,##0.00\);_([$$-409]* &quot;-&quot;??_);_(@_)"/>
  </numFmts>
  <fonts count="5" x14ac:knownFonts="1">
    <font>
      <sz val="11"/>
      <color theme="1"/>
      <name val="Aptos Narrow"/>
      <family val="2"/>
      <scheme val="minor"/>
    </font>
    <font>
      <u/>
      <sz val="11"/>
      <color theme="10"/>
      <name val="Aptos Narrow"/>
      <family val="2"/>
      <scheme val="minor"/>
    </font>
    <font>
      <u/>
      <sz val="10"/>
      <color theme="10"/>
      <name val="Arial"/>
      <family val="2"/>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1" applyFont="1"/>
    <xf numFmtId="0" fontId="3" fillId="0" borderId="0" xfId="0" applyFont="1"/>
    <xf numFmtId="3" fontId="3" fillId="0" borderId="0" xfId="0" applyNumberFormat="1" applyFont="1"/>
    <xf numFmtId="8" fontId="3" fillId="0" borderId="0" xfId="0" applyNumberFormat="1" applyFont="1"/>
    <xf numFmtId="9" fontId="3" fillId="0" borderId="0" xfId="0" applyNumberFormat="1" applyFont="1"/>
    <xf numFmtId="0" fontId="4" fillId="0" borderId="0" xfId="0" applyFont="1"/>
    <xf numFmtId="3" fontId="4" fillId="0" borderId="0" xfId="0" applyNumberFormat="1" applyFont="1"/>
    <xf numFmtId="164"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9</xdr:col>
      <xdr:colOff>594360</xdr:colOff>
      <xdr:row>0</xdr:row>
      <xdr:rowOff>38100</xdr:rowOff>
    </xdr:from>
    <xdr:to>
      <xdr:col>10</xdr:col>
      <xdr:colOff>0</xdr:colOff>
      <xdr:row>51</xdr:row>
      <xdr:rowOff>114300</xdr:rowOff>
    </xdr:to>
    <xdr:cxnSp macro="">
      <xdr:nvCxnSpPr>
        <xdr:cNvPr id="3" name="Straight Connector 2">
          <a:extLst>
            <a:ext uri="{FF2B5EF4-FFF2-40B4-BE49-F238E27FC236}">
              <a16:creationId xmlns:a16="http://schemas.microsoft.com/office/drawing/2014/main" id="{7629C8BE-2D30-5DE9-A411-A63943B72533}"/>
            </a:ext>
          </a:extLst>
        </xdr:cNvPr>
        <xdr:cNvCxnSpPr/>
      </xdr:nvCxnSpPr>
      <xdr:spPr>
        <a:xfrm flipH="1">
          <a:off x="6553200" y="38100"/>
          <a:ext cx="15240" cy="82905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https://www.bing.com/financeapi/forcetrigger?t=a1slm7&amp;q=XNAS%3aMETA&amp;form=skydnc</v>
    <v>Learn more on Bing</v>
  </rv>
  <rv s="1">
    <v>en-US</v>
    <v>a1slm7</v>
    <v>268435456</v>
    <v>1</v>
    <v>Powered by Refinitiv</v>
    <v>0</v>
    <v>Meta Platforms, Inc. (XNAS:META)</v>
    <v>2</v>
    <v>3</v>
    <v>Finance</v>
    <v>4</v>
    <v>740.91</v>
    <v>414.5</v>
    <v>1.2349000000000001</v>
    <v>-2.72</v>
    <v>-1.049E-3</v>
    <v>-4.9789999999999999E-3</v>
    <v>-0.57010000000000005</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Horizon Store, which enable a range of social experiences.</v>
    <v>74067</v>
    <v>Nasdaq Stock Market</v>
    <v>XNAS</v>
    <v>XNAS</v>
    <v>1 Meta Way, MENLO PARK, CA, 94025 US</v>
    <v>547.4</v>
    <v>Software &amp; IT Services</v>
    <v>Stock</v>
    <v>45758.999979212502</v>
    <v>0</v>
    <v>528.59010000000001</v>
    <v>1377221022630</v>
    <v>Meta Platforms, Inc.</v>
    <v>Meta Platforms, Inc.</v>
    <v>535.505</v>
    <v>22.498000000000001</v>
    <v>546.29</v>
    <v>543.57000000000005</v>
    <v>542.99990000000003</v>
    <v>2533659000</v>
    <v>META</v>
    <v>Meta Platforms, Inc. (XNAS:META)</v>
    <v>17642327</v>
    <v>21424605</v>
    <v>2004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14584-A4FA-4D13-8599-9923FB07CFDB}">
  <dimension ref="B2:J9"/>
  <sheetViews>
    <sheetView workbookViewId="0">
      <selection activeCell="B10" sqref="B10"/>
    </sheetView>
  </sheetViews>
  <sheetFormatPr defaultRowHeight="13.2" x14ac:dyDescent="0.25"/>
  <cols>
    <col min="1" max="2" width="8.88671875" style="2"/>
    <col min="3" max="3" width="9.109375" style="2" bestFit="1" customWidth="1"/>
    <col min="4" max="9" width="8.88671875" style="2"/>
    <col min="10" max="10" width="9.88671875" style="2" bestFit="1" customWidth="1"/>
    <col min="11" max="16384" width="8.88671875" style="2"/>
  </cols>
  <sheetData>
    <row r="2" spans="2:10" x14ac:dyDescent="0.25">
      <c r="I2" s="6" t="s">
        <v>0</v>
      </c>
      <c r="J2" s="2" t="e" vm="1">
        <v>#VALUE!</v>
      </c>
    </row>
    <row r="3" spans="2:10" x14ac:dyDescent="0.25">
      <c r="B3" s="2" t="s">
        <v>32</v>
      </c>
      <c r="I3" s="6" t="s">
        <v>1</v>
      </c>
      <c r="J3" s="8" cm="1">
        <f t="array" aca="1" ref="J3" ca="1">+_FV(J2,"price")</f>
        <v>543.57000000000005</v>
      </c>
    </row>
    <row r="4" spans="2:10" x14ac:dyDescent="0.25">
      <c r="C4" s="2" t="s">
        <v>33</v>
      </c>
      <c r="I4" s="6" t="s">
        <v>2</v>
      </c>
      <c r="J4" s="2">
        <f>2189.898148+343.761117</f>
        <v>2533.6592650000002</v>
      </c>
    </row>
    <row r="5" spans="2:10" x14ac:dyDescent="0.25">
      <c r="C5" s="2" t="s">
        <v>34</v>
      </c>
      <c r="I5" s="6" t="s">
        <v>3</v>
      </c>
      <c r="J5" s="3">
        <f ca="1">+J3*J4</f>
        <v>1377221.1666760503</v>
      </c>
    </row>
    <row r="6" spans="2:10" x14ac:dyDescent="0.25">
      <c r="C6" s="2" t="s">
        <v>35</v>
      </c>
      <c r="I6" s="6" t="s">
        <v>4</v>
      </c>
      <c r="J6" s="3">
        <f>43889+33926+6070</f>
        <v>83885</v>
      </c>
    </row>
    <row r="7" spans="2:10" x14ac:dyDescent="0.25">
      <c r="C7" s="2" t="s">
        <v>36</v>
      </c>
      <c r="I7" s="6" t="s">
        <v>5</v>
      </c>
      <c r="J7" s="3">
        <v>28826</v>
      </c>
    </row>
    <row r="8" spans="2:10" x14ac:dyDescent="0.25">
      <c r="I8" s="6" t="s">
        <v>6</v>
      </c>
      <c r="J8" s="3">
        <f ca="1">+J5-J6+J7</f>
        <v>1322162.1666760503</v>
      </c>
    </row>
    <row r="9" spans="2:10" x14ac:dyDescent="0.25">
      <c r="B9" s="2"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6B45B-E015-4B41-9464-196B5CD89629}">
  <dimension ref="A1:AV41"/>
  <sheetViews>
    <sheetView tabSelected="1" topLeftCell="B1" workbookViewId="0">
      <pane xSplit="1" ySplit="2" topLeftCell="C3" activePane="bottomRight" state="frozen"/>
      <selection activeCell="B1" sqref="B1"/>
      <selection pane="topRight" activeCell="C1" sqref="C1"/>
      <selection pane="bottomLeft" activeCell="B3" sqref="B3"/>
      <selection pane="bottomRight" activeCell="J4" sqref="J4"/>
    </sheetView>
  </sheetViews>
  <sheetFormatPr defaultRowHeight="13.2" x14ac:dyDescent="0.25"/>
  <cols>
    <col min="1" max="1" width="8.88671875" style="2"/>
    <col min="2" max="2" width="15.5546875" style="2" bestFit="1" customWidth="1"/>
    <col min="3" max="3" width="9.109375" style="2" customWidth="1"/>
    <col min="4" max="20" width="8.88671875" style="2"/>
    <col min="21" max="21" width="13.44140625" style="2" bestFit="1" customWidth="1"/>
    <col min="22" max="16384" width="8.88671875" style="2"/>
  </cols>
  <sheetData>
    <row r="1" spans="1:18" x14ac:dyDescent="0.25">
      <c r="A1" s="1" t="s">
        <v>7</v>
      </c>
    </row>
    <row r="2" spans="1:18" x14ac:dyDescent="0.25">
      <c r="C2" s="6">
        <v>2017</v>
      </c>
      <c r="D2" s="6">
        <v>2018</v>
      </c>
      <c r="E2" s="6">
        <f>+D2+1</f>
        <v>2019</v>
      </c>
      <c r="F2" s="6">
        <f t="shared" ref="F2:P2" si="0">+E2+1</f>
        <v>2020</v>
      </c>
      <c r="G2" s="6">
        <f t="shared" si="0"/>
        <v>2021</v>
      </c>
      <c r="H2" s="6">
        <f t="shared" si="0"/>
        <v>2022</v>
      </c>
      <c r="I2" s="6">
        <f t="shared" si="0"/>
        <v>2023</v>
      </c>
      <c r="J2" s="6">
        <f t="shared" si="0"/>
        <v>2024</v>
      </c>
      <c r="K2" s="6">
        <f t="shared" si="0"/>
        <v>2025</v>
      </c>
      <c r="L2" s="6">
        <f t="shared" si="0"/>
        <v>2026</v>
      </c>
      <c r="M2" s="6">
        <f t="shared" si="0"/>
        <v>2027</v>
      </c>
      <c r="N2" s="6">
        <f t="shared" si="0"/>
        <v>2028</v>
      </c>
      <c r="O2" s="6">
        <f t="shared" si="0"/>
        <v>2029</v>
      </c>
      <c r="P2" s="6">
        <f t="shared" si="0"/>
        <v>2030</v>
      </c>
      <c r="Q2" s="6">
        <f t="shared" ref="Q2:R2" si="1">+P2+1</f>
        <v>2031</v>
      </c>
      <c r="R2" s="6">
        <f t="shared" si="1"/>
        <v>2032</v>
      </c>
    </row>
    <row r="3" spans="1:18" x14ac:dyDescent="0.25">
      <c r="B3" s="2" t="s">
        <v>38</v>
      </c>
      <c r="C3" s="7"/>
      <c r="D3" s="7"/>
      <c r="E3" s="7">
        <v>2260</v>
      </c>
      <c r="F3" s="7">
        <v>2600</v>
      </c>
      <c r="G3" s="7">
        <v>2820</v>
      </c>
      <c r="H3" s="7">
        <v>2960</v>
      </c>
      <c r="I3" s="7">
        <v>3190</v>
      </c>
      <c r="J3" s="7">
        <v>3350</v>
      </c>
      <c r="K3" s="7"/>
      <c r="L3" s="7"/>
      <c r="M3" s="7"/>
      <c r="N3" s="7"/>
      <c r="O3" s="7"/>
      <c r="P3" s="7"/>
      <c r="Q3" s="7"/>
      <c r="R3" s="7"/>
    </row>
    <row r="4" spans="1:18" x14ac:dyDescent="0.25">
      <c r="C4" s="7"/>
      <c r="D4" s="7"/>
      <c r="E4" s="7"/>
      <c r="F4" s="5">
        <f t="shared" ref="F4:I4" si="2">+F3/E3-1</f>
        <v>0.15044247787610621</v>
      </c>
      <c r="G4" s="5">
        <f t="shared" si="2"/>
        <v>8.4615384615384537E-2</v>
      </c>
      <c r="H4" s="5">
        <f t="shared" si="2"/>
        <v>4.9645390070921946E-2</v>
      </c>
      <c r="I4" s="5">
        <f t="shared" si="2"/>
        <v>7.7702702702702631E-2</v>
      </c>
      <c r="J4" s="5">
        <f>+J3/I3-1</f>
        <v>5.0156739811912265E-2</v>
      </c>
      <c r="K4" s="7"/>
      <c r="L4" s="7"/>
      <c r="M4" s="7"/>
      <c r="N4" s="7"/>
      <c r="O4" s="7"/>
      <c r="P4" s="7"/>
      <c r="Q4" s="7"/>
      <c r="R4" s="7"/>
    </row>
    <row r="6" spans="1:18" x14ac:dyDescent="0.25">
      <c r="B6" s="6" t="s">
        <v>8</v>
      </c>
      <c r="C6" s="7">
        <v>40653</v>
      </c>
      <c r="D6" s="7">
        <v>55838</v>
      </c>
      <c r="E6" s="7">
        <v>70697</v>
      </c>
      <c r="F6" s="7">
        <v>85965</v>
      </c>
      <c r="G6" s="7">
        <v>117929</v>
      </c>
      <c r="H6" s="7">
        <v>116609</v>
      </c>
      <c r="I6" s="7">
        <v>134902</v>
      </c>
      <c r="J6" s="7">
        <v>164501</v>
      </c>
      <c r="K6" s="7">
        <f>+J6*1.15</f>
        <v>189176.15</v>
      </c>
      <c r="L6" s="7">
        <f t="shared" ref="L6:P6" si="3">+K6*1.15</f>
        <v>217552.57249999998</v>
      </c>
      <c r="M6" s="7">
        <f t="shared" si="3"/>
        <v>250185.45837499996</v>
      </c>
      <c r="N6" s="7">
        <f t="shared" si="3"/>
        <v>287713.27713124995</v>
      </c>
      <c r="O6" s="7">
        <f t="shared" si="3"/>
        <v>330870.26870093745</v>
      </c>
      <c r="P6" s="7">
        <f t="shared" si="3"/>
        <v>380500.80900607805</v>
      </c>
      <c r="Q6" s="7">
        <f t="shared" ref="Q6:R6" si="4">+P6*1.15</f>
        <v>437575.93035698973</v>
      </c>
      <c r="R6" s="7">
        <f t="shared" si="4"/>
        <v>503212.31991053815</v>
      </c>
    </row>
    <row r="7" spans="1:18" x14ac:dyDescent="0.25">
      <c r="B7" s="2" t="s">
        <v>9</v>
      </c>
      <c r="C7" s="3">
        <v>5454</v>
      </c>
      <c r="D7" s="3">
        <v>9355</v>
      </c>
      <c r="E7" s="3">
        <v>12770</v>
      </c>
      <c r="F7" s="3">
        <v>16692</v>
      </c>
      <c r="G7" s="3">
        <v>22649</v>
      </c>
      <c r="H7" s="3">
        <v>25249</v>
      </c>
      <c r="I7" s="3">
        <v>25959</v>
      </c>
      <c r="J7" s="3">
        <v>30161</v>
      </c>
      <c r="K7" s="3">
        <f>+K6*0.18</f>
        <v>34051.706999999995</v>
      </c>
      <c r="L7" s="3">
        <f t="shared" ref="L7:P7" si="5">+L6*0.18</f>
        <v>39159.463049999998</v>
      </c>
      <c r="M7" s="3">
        <f t="shared" si="5"/>
        <v>45033.382507499991</v>
      </c>
      <c r="N7" s="3">
        <f t="shared" si="5"/>
        <v>51788.389883624986</v>
      </c>
      <c r="O7" s="3">
        <f t="shared" si="5"/>
        <v>59556.648366168738</v>
      </c>
      <c r="P7" s="3">
        <f t="shared" si="5"/>
        <v>68490.145621094052</v>
      </c>
      <c r="Q7" s="3">
        <f t="shared" ref="Q7" si="6">+Q6*0.18</f>
        <v>78763.667464258149</v>
      </c>
      <c r="R7" s="3">
        <f t="shared" ref="R7" si="7">+R6*0.18</f>
        <v>90578.217583896869</v>
      </c>
    </row>
    <row r="8" spans="1:18" x14ac:dyDescent="0.25">
      <c r="B8" s="2" t="s">
        <v>10</v>
      </c>
      <c r="C8" s="3">
        <f t="shared" ref="C8" si="8">+C6-C7</f>
        <v>35199</v>
      </c>
      <c r="D8" s="3">
        <f t="shared" ref="D8" si="9">+D6-D7</f>
        <v>46483</v>
      </c>
      <c r="E8" s="3">
        <f t="shared" ref="E8" si="10">+E6-E7</f>
        <v>57927</v>
      </c>
      <c r="F8" s="3">
        <f t="shared" ref="F8" si="11">+F6-F7</f>
        <v>69273</v>
      </c>
      <c r="G8" s="3">
        <f t="shared" ref="G8" si="12">+G6-G7</f>
        <v>95280</v>
      </c>
      <c r="H8" s="3">
        <f t="shared" ref="H8:I8" si="13">+H6-H7</f>
        <v>91360</v>
      </c>
      <c r="I8" s="3">
        <f t="shared" si="13"/>
        <v>108943</v>
      </c>
      <c r="J8" s="3">
        <f>+J6-J7</f>
        <v>134340</v>
      </c>
      <c r="K8" s="3">
        <f t="shared" ref="K8:P8" si="14">+K6-K7</f>
        <v>155124.443</v>
      </c>
      <c r="L8" s="3">
        <f t="shared" si="14"/>
        <v>178393.10944999999</v>
      </c>
      <c r="M8" s="3">
        <f t="shared" si="14"/>
        <v>205152.07586749998</v>
      </c>
      <c r="N8" s="3">
        <f t="shared" si="14"/>
        <v>235924.88724762498</v>
      </c>
      <c r="O8" s="3">
        <f t="shared" si="14"/>
        <v>271313.62033476873</v>
      </c>
      <c r="P8" s="3">
        <f t="shared" si="14"/>
        <v>312010.66338498401</v>
      </c>
      <c r="Q8" s="3">
        <f t="shared" ref="Q8" si="15">+Q6-Q7</f>
        <v>358812.26289273158</v>
      </c>
      <c r="R8" s="3">
        <f t="shared" ref="R8" si="16">+R6-R7</f>
        <v>412634.10232664127</v>
      </c>
    </row>
    <row r="9" spans="1:18" x14ac:dyDescent="0.25">
      <c r="B9" s="2" t="s">
        <v>11</v>
      </c>
      <c r="C9" s="3">
        <v>7754</v>
      </c>
      <c r="D9" s="3">
        <v>10273</v>
      </c>
      <c r="E9" s="3">
        <v>13600</v>
      </c>
      <c r="F9" s="3">
        <v>18447</v>
      </c>
      <c r="G9" s="3">
        <v>24655</v>
      </c>
      <c r="H9" s="3">
        <v>35338</v>
      </c>
      <c r="I9" s="3">
        <v>38483</v>
      </c>
      <c r="J9" s="3">
        <v>43873</v>
      </c>
      <c r="K9" s="3">
        <f>+K6*0.27</f>
        <v>51077.5605</v>
      </c>
      <c r="L9" s="3">
        <f t="shared" ref="L9" si="17">+L6*0.27</f>
        <v>58739.194575000001</v>
      </c>
      <c r="M9" s="3">
        <f>+M6*0.25</f>
        <v>62546.36459374999</v>
      </c>
      <c r="N9" s="3">
        <f t="shared" ref="N9:P9" si="18">+N6*0.25</f>
        <v>71928.319282812488</v>
      </c>
      <c r="O9" s="3">
        <f t="shared" si="18"/>
        <v>82717.567175234362</v>
      </c>
      <c r="P9" s="3">
        <f t="shared" si="18"/>
        <v>95125.202251519513</v>
      </c>
      <c r="Q9" s="3">
        <f t="shared" ref="Q9:R9" si="19">+Q6*0.25</f>
        <v>109393.98258924743</v>
      </c>
      <c r="R9" s="3">
        <f t="shared" si="19"/>
        <v>125803.07997763454</v>
      </c>
    </row>
    <row r="10" spans="1:18" x14ac:dyDescent="0.25">
      <c r="B10" s="2" t="s">
        <v>12</v>
      </c>
      <c r="C10" s="3">
        <v>4725</v>
      </c>
      <c r="D10" s="3">
        <v>7846</v>
      </c>
      <c r="E10" s="3">
        <v>9876</v>
      </c>
      <c r="F10" s="3">
        <v>11591</v>
      </c>
      <c r="G10" s="3">
        <v>14043</v>
      </c>
      <c r="H10" s="3">
        <v>15262</v>
      </c>
      <c r="I10" s="3">
        <v>12301</v>
      </c>
      <c r="J10" s="3">
        <v>11347</v>
      </c>
      <c r="K10" s="3">
        <f>+K6*0.07</f>
        <v>13242.3305</v>
      </c>
      <c r="L10" s="3">
        <f t="shared" ref="L10:P10" si="20">+L6*0.07</f>
        <v>15228.680075</v>
      </c>
      <c r="M10" s="3">
        <f t="shared" si="20"/>
        <v>17512.982086249998</v>
      </c>
      <c r="N10" s="3">
        <f t="shared" si="20"/>
        <v>20139.929399187498</v>
      </c>
      <c r="O10" s="3">
        <f t="shared" si="20"/>
        <v>23160.918809065624</v>
      </c>
      <c r="P10" s="3">
        <f t="shared" si="20"/>
        <v>26635.056630425464</v>
      </c>
      <c r="Q10" s="3">
        <f t="shared" ref="Q10:R10" si="21">+Q6*0.07</f>
        <v>30630.315124989284</v>
      </c>
      <c r="R10" s="3">
        <f t="shared" si="21"/>
        <v>35224.862393737676</v>
      </c>
    </row>
    <row r="11" spans="1:18" x14ac:dyDescent="0.25">
      <c r="B11" s="2" t="s">
        <v>13</v>
      </c>
      <c r="C11" s="3">
        <v>2517</v>
      </c>
      <c r="D11" s="3">
        <v>3451</v>
      </c>
      <c r="E11" s="3">
        <v>10465</v>
      </c>
      <c r="F11" s="3">
        <v>6564</v>
      </c>
      <c r="G11" s="3">
        <v>9829</v>
      </c>
      <c r="H11" s="3">
        <v>11816</v>
      </c>
      <c r="I11" s="3">
        <v>11408</v>
      </c>
      <c r="J11" s="3">
        <v>9740</v>
      </c>
      <c r="K11" s="3">
        <f>+J11*1.05</f>
        <v>10227</v>
      </c>
      <c r="L11" s="3">
        <f t="shared" ref="L11:P11" si="22">+K11*1.05</f>
        <v>10738.35</v>
      </c>
      <c r="M11" s="3">
        <f t="shared" si="22"/>
        <v>11275.267500000002</v>
      </c>
      <c r="N11" s="3">
        <f t="shared" si="22"/>
        <v>11839.030875000002</v>
      </c>
      <c r="O11" s="3">
        <f t="shared" si="22"/>
        <v>12430.982418750003</v>
      </c>
      <c r="P11" s="3">
        <f t="shared" si="22"/>
        <v>13052.531539687505</v>
      </c>
      <c r="Q11" s="3">
        <f t="shared" ref="Q11:R11" si="23">+P11*1.05</f>
        <v>13705.158116671881</v>
      </c>
      <c r="R11" s="3">
        <f t="shared" si="23"/>
        <v>14390.416022505475</v>
      </c>
    </row>
    <row r="12" spans="1:18" x14ac:dyDescent="0.25">
      <c r="B12" s="2" t="s">
        <v>14</v>
      </c>
      <c r="C12" s="3">
        <f t="shared" ref="C12" si="24">+SUM(C9:C11)</f>
        <v>14996</v>
      </c>
      <c r="D12" s="3">
        <f t="shared" ref="D12" si="25">+SUM(D9:D11)</f>
        <v>21570</v>
      </c>
      <c r="E12" s="3">
        <f t="shared" ref="E12" si="26">+SUM(E9:E11)</f>
        <v>33941</v>
      </c>
      <c r="F12" s="3">
        <f t="shared" ref="F12" si="27">+SUM(F9:F11)</f>
        <v>36602</v>
      </c>
      <c r="G12" s="3">
        <f t="shared" ref="G12" si="28">+SUM(G9:G11)</f>
        <v>48527</v>
      </c>
      <c r="H12" s="3">
        <f t="shared" ref="H12:I12" si="29">+SUM(H9:H11)</f>
        <v>62416</v>
      </c>
      <c r="I12" s="3">
        <f t="shared" si="29"/>
        <v>62192</v>
      </c>
      <c r="J12" s="3">
        <f>+SUM(J9:J11)</f>
        <v>64960</v>
      </c>
      <c r="K12" s="3">
        <f t="shared" ref="K12:P12" si="30">+SUM(K9:K11)</f>
        <v>74546.891000000003</v>
      </c>
      <c r="L12" s="3">
        <f t="shared" si="30"/>
        <v>84706.224650000004</v>
      </c>
      <c r="M12" s="3">
        <f t="shared" si="30"/>
        <v>91334.61417999999</v>
      </c>
      <c r="N12" s="3">
        <f t="shared" si="30"/>
        <v>103907.27955699999</v>
      </c>
      <c r="O12" s="3">
        <f t="shared" si="30"/>
        <v>118309.46840304999</v>
      </c>
      <c r="P12" s="3">
        <f t="shared" si="30"/>
        <v>134812.79042163247</v>
      </c>
      <c r="Q12" s="3">
        <f t="shared" ref="Q12" si="31">+SUM(Q9:Q11)</f>
        <v>153729.45583090858</v>
      </c>
      <c r="R12" s="3">
        <f t="shared" ref="R12" si="32">+SUM(R9:R11)</f>
        <v>175418.35839387769</v>
      </c>
    </row>
    <row r="13" spans="1:18" x14ac:dyDescent="0.25">
      <c r="B13" s="2" t="s">
        <v>15</v>
      </c>
      <c r="C13" s="3">
        <f t="shared" ref="C13" si="33">+C8-C12</f>
        <v>20203</v>
      </c>
      <c r="D13" s="3">
        <f t="shared" ref="D13" si="34">+D8-D12</f>
        <v>24913</v>
      </c>
      <c r="E13" s="3">
        <f t="shared" ref="E13" si="35">+E8-E12</f>
        <v>23986</v>
      </c>
      <c r="F13" s="3">
        <f t="shared" ref="F13" si="36">+F8-F12</f>
        <v>32671</v>
      </c>
      <c r="G13" s="3">
        <f t="shared" ref="G13" si="37">+G8-G12</f>
        <v>46753</v>
      </c>
      <c r="H13" s="3">
        <f t="shared" ref="H13:I13" si="38">+H8-H12</f>
        <v>28944</v>
      </c>
      <c r="I13" s="3">
        <f t="shared" si="38"/>
        <v>46751</v>
      </c>
      <c r="J13" s="3">
        <f>+J8-J12</f>
        <v>69380</v>
      </c>
      <c r="K13" s="3">
        <f t="shared" ref="K13:P13" si="39">+K8-K12</f>
        <v>80577.551999999996</v>
      </c>
      <c r="L13" s="3">
        <f t="shared" si="39"/>
        <v>93686.884799999985</v>
      </c>
      <c r="M13" s="3">
        <f t="shared" si="39"/>
        <v>113817.46168749999</v>
      </c>
      <c r="N13" s="3">
        <f t="shared" si="39"/>
        <v>132017.60769062501</v>
      </c>
      <c r="O13" s="3">
        <f t="shared" si="39"/>
        <v>153004.15193171875</v>
      </c>
      <c r="P13" s="3">
        <f t="shared" si="39"/>
        <v>177197.87296335155</v>
      </c>
      <c r="Q13" s="3">
        <f t="shared" ref="Q13" si="40">+Q8-Q12</f>
        <v>205082.807061823</v>
      </c>
      <c r="R13" s="3">
        <f t="shared" ref="R13" si="41">+R8-R12</f>
        <v>237215.74393276358</v>
      </c>
    </row>
    <row r="14" spans="1:18" x14ac:dyDescent="0.25">
      <c r="B14" s="2" t="s">
        <v>16</v>
      </c>
      <c r="C14" s="3">
        <v>391</v>
      </c>
      <c r="D14" s="3">
        <v>448</v>
      </c>
      <c r="E14" s="3">
        <v>826</v>
      </c>
      <c r="F14" s="3">
        <v>509</v>
      </c>
      <c r="G14" s="3">
        <v>531</v>
      </c>
      <c r="H14" s="3">
        <v>-125</v>
      </c>
      <c r="I14" s="3">
        <v>677</v>
      </c>
      <c r="J14" s="3">
        <v>1283</v>
      </c>
      <c r="K14" s="3">
        <f>+J39*$U$29</f>
        <v>3303.54</v>
      </c>
      <c r="L14" s="3">
        <f t="shared" ref="L14:R14" si="42">+K39*$U$29</f>
        <v>7581.4756919999991</v>
      </c>
      <c r="M14" s="3">
        <f t="shared" si="42"/>
        <v>12746.162077091998</v>
      </c>
      <c r="N14" s="3">
        <f t="shared" si="42"/>
        <v>19200.906889086189</v>
      </c>
      <c r="O14" s="3">
        <f t="shared" si="42"/>
        <v>26913.051132651461</v>
      </c>
      <c r="P14" s="3">
        <f t="shared" si="42"/>
        <v>36088.828488934341</v>
      </c>
      <c r="Q14" s="3">
        <f t="shared" si="42"/>
        <v>46966.450263000923</v>
      </c>
      <c r="R14" s="3">
        <f t="shared" si="42"/>
        <v>59820.962386566942</v>
      </c>
    </row>
    <row r="15" spans="1:18" x14ac:dyDescent="0.25">
      <c r="B15" s="2" t="s">
        <v>17</v>
      </c>
      <c r="C15" s="3">
        <f t="shared" ref="C15" si="43">+C13+C14</f>
        <v>20594</v>
      </c>
      <c r="D15" s="3">
        <f t="shared" ref="D15" si="44">+D13+D14</f>
        <v>25361</v>
      </c>
      <c r="E15" s="3">
        <f t="shared" ref="E15" si="45">+E13+E14</f>
        <v>24812</v>
      </c>
      <c r="F15" s="3">
        <f t="shared" ref="F15" si="46">+F13+F14</f>
        <v>33180</v>
      </c>
      <c r="G15" s="3">
        <f t="shared" ref="G15" si="47">+G13+G14</f>
        <v>47284</v>
      </c>
      <c r="H15" s="3">
        <f t="shared" ref="H15:I15" si="48">+H13+H14</f>
        <v>28819</v>
      </c>
      <c r="I15" s="3">
        <f t="shared" si="48"/>
        <v>47428</v>
      </c>
      <c r="J15" s="3">
        <f>+J13+J14</f>
        <v>70663</v>
      </c>
      <c r="K15" s="3">
        <f t="shared" ref="K15:R15" si="49">+K13+K14</f>
        <v>83881.09199999999</v>
      </c>
      <c r="L15" s="3">
        <f t="shared" si="49"/>
        <v>101268.36049199998</v>
      </c>
      <c r="M15" s="3">
        <f t="shared" si="49"/>
        <v>126563.62376459199</v>
      </c>
      <c r="N15" s="3">
        <f t="shared" si="49"/>
        <v>151218.51457971119</v>
      </c>
      <c r="O15" s="3">
        <f t="shared" si="49"/>
        <v>179917.2030643702</v>
      </c>
      <c r="P15" s="3">
        <f t="shared" si="49"/>
        <v>213286.7014522859</v>
      </c>
      <c r="Q15" s="3">
        <f t="shared" si="49"/>
        <v>252049.25732482394</v>
      </c>
      <c r="R15" s="3">
        <f t="shared" si="49"/>
        <v>297036.70631933049</v>
      </c>
    </row>
    <row r="16" spans="1:18" x14ac:dyDescent="0.25">
      <c r="B16" s="2" t="s">
        <v>18</v>
      </c>
      <c r="C16" s="3">
        <v>4660</v>
      </c>
      <c r="D16" s="3">
        <v>3249</v>
      </c>
      <c r="E16" s="3">
        <v>6327</v>
      </c>
      <c r="F16" s="3">
        <v>4034</v>
      </c>
      <c r="G16" s="3">
        <v>7914</v>
      </c>
      <c r="H16" s="3">
        <v>5619</v>
      </c>
      <c r="I16" s="3">
        <v>8330</v>
      </c>
      <c r="J16" s="3">
        <v>8303</v>
      </c>
      <c r="K16" s="3">
        <f>+K15*0.15</f>
        <v>12582.163799999998</v>
      </c>
      <c r="L16" s="3">
        <f t="shared" ref="L16:R16" si="50">+L15*0.15</f>
        <v>15190.254073799995</v>
      </c>
      <c r="M16" s="3">
        <f t="shared" si="50"/>
        <v>18984.543564688796</v>
      </c>
      <c r="N16" s="3">
        <f t="shared" si="50"/>
        <v>22682.777186956679</v>
      </c>
      <c r="O16" s="3">
        <f t="shared" si="50"/>
        <v>26987.580459655528</v>
      </c>
      <c r="P16" s="3">
        <f t="shared" si="50"/>
        <v>31993.005217842881</v>
      </c>
      <c r="Q16" s="3">
        <f t="shared" si="50"/>
        <v>37807.388598723592</v>
      </c>
      <c r="R16" s="3">
        <f t="shared" si="50"/>
        <v>44555.505947899575</v>
      </c>
    </row>
    <row r="17" spans="2:48" x14ac:dyDescent="0.25">
      <c r="B17" s="6" t="s">
        <v>19</v>
      </c>
      <c r="C17" s="7">
        <f t="shared" ref="C17" si="51">+C15-C16</f>
        <v>15934</v>
      </c>
      <c r="D17" s="7">
        <f t="shared" ref="D17" si="52">+D15-D16</f>
        <v>22112</v>
      </c>
      <c r="E17" s="7">
        <f t="shared" ref="E17" si="53">+E15-E16</f>
        <v>18485</v>
      </c>
      <c r="F17" s="7">
        <f t="shared" ref="F17" si="54">+F15-F16</f>
        <v>29146</v>
      </c>
      <c r="G17" s="7">
        <f t="shared" ref="G17" si="55">+G15-G16</f>
        <v>39370</v>
      </c>
      <c r="H17" s="7">
        <f t="shared" ref="H17:I17" si="56">+H15-H16</f>
        <v>23200</v>
      </c>
      <c r="I17" s="7">
        <f t="shared" si="56"/>
        <v>39098</v>
      </c>
      <c r="J17" s="7">
        <f>+J15-J16</f>
        <v>62360</v>
      </c>
      <c r="K17" s="7">
        <f t="shared" ref="K17:R17" si="57">+K15-K16</f>
        <v>71298.928199999995</v>
      </c>
      <c r="L17" s="7">
        <f t="shared" si="57"/>
        <v>86078.106418199983</v>
      </c>
      <c r="M17" s="7">
        <f t="shared" si="57"/>
        <v>107579.0801999032</v>
      </c>
      <c r="N17" s="7">
        <f t="shared" si="57"/>
        <v>128535.73739275451</v>
      </c>
      <c r="O17" s="7">
        <f t="shared" si="57"/>
        <v>152929.62260471468</v>
      </c>
      <c r="P17" s="7">
        <f t="shared" si="57"/>
        <v>181293.69623444302</v>
      </c>
      <c r="Q17" s="7">
        <f t="shared" si="57"/>
        <v>214241.86872610034</v>
      </c>
      <c r="R17" s="7">
        <f t="shared" si="57"/>
        <v>252481.20037143092</v>
      </c>
      <c r="S17" s="7">
        <f>+R17*(1+$U$28)</f>
        <v>252481.20037143092</v>
      </c>
      <c r="T17" s="7">
        <f t="shared" ref="T17:AV17" si="58">+S17*(1+$U$28)</f>
        <v>252481.20037143092</v>
      </c>
      <c r="U17" s="7">
        <f t="shared" si="58"/>
        <v>252481.20037143092</v>
      </c>
      <c r="V17" s="7">
        <f t="shared" si="58"/>
        <v>252481.20037143092</v>
      </c>
      <c r="W17" s="7">
        <f t="shared" si="58"/>
        <v>252481.20037143092</v>
      </c>
      <c r="X17" s="7">
        <f t="shared" si="58"/>
        <v>252481.20037143092</v>
      </c>
      <c r="Y17" s="7">
        <f t="shared" si="58"/>
        <v>252481.20037143092</v>
      </c>
      <c r="Z17" s="7">
        <f t="shared" si="58"/>
        <v>252481.20037143092</v>
      </c>
      <c r="AA17" s="7">
        <f t="shared" si="58"/>
        <v>252481.20037143092</v>
      </c>
      <c r="AB17" s="7">
        <f t="shared" si="58"/>
        <v>252481.20037143092</v>
      </c>
      <c r="AC17" s="7">
        <f t="shared" si="58"/>
        <v>252481.20037143092</v>
      </c>
      <c r="AD17" s="7">
        <f t="shared" si="58"/>
        <v>252481.20037143092</v>
      </c>
      <c r="AE17" s="7">
        <f t="shared" si="58"/>
        <v>252481.20037143092</v>
      </c>
      <c r="AF17" s="7">
        <f t="shared" si="58"/>
        <v>252481.20037143092</v>
      </c>
      <c r="AG17" s="7">
        <f t="shared" si="58"/>
        <v>252481.20037143092</v>
      </c>
      <c r="AH17" s="7">
        <f t="shared" si="58"/>
        <v>252481.20037143092</v>
      </c>
      <c r="AI17" s="7">
        <f t="shared" si="58"/>
        <v>252481.20037143092</v>
      </c>
      <c r="AJ17" s="7">
        <f t="shared" si="58"/>
        <v>252481.20037143092</v>
      </c>
      <c r="AK17" s="7">
        <f t="shared" si="58"/>
        <v>252481.20037143092</v>
      </c>
      <c r="AL17" s="7">
        <f t="shared" si="58"/>
        <v>252481.20037143092</v>
      </c>
      <c r="AM17" s="7">
        <f t="shared" si="58"/>
        <v>252481.20037143092</v>
      </c>
      <c r="AN17" s="7">
        <f t="shared" si="58"/>
        <v>252481.20037143092</v>
      </c>
      <c r="AO17" s="7">
        <f t="shared" si="58"/>
        <v>252481.20037143092</v>
      </c>
      <c r="AP17" s="7">
        <f t="shared" si="58"/>
        <v>252481.20037143092</v>
      </c>
      <c r="AQ17" s="7">
        <f t="shared" si="58"/>
        <v>252481.20037143092</v>
      </c>
      <c r="AR17" s="7">
        <f t="shared" si="58"/>
        <v>252481.20037143092</v>
      </c>
      <c r="AS17" s="7">
        <f t="shared" si="58"/>
        <v>252481.20037143092</v>
      </c>
      <c r="AT17" s="7">
        <f t="shared" si="58"/>
        <v>252481.20037143092</v>
      </c>
      <c r="AU17" s="7">
        <f t="shared" si="58"/>
        <v>252481.20037143092</v>
      </c>
      <c r="AV17" s="7">
        <f t="shared" si="58"/>
        <v>252481.20037143092</v>
      </c>
    </row>
    <row r="18" spans="2:48" x14ac:dyDescent="0.25">
      <c r="B18" s="2" t="s">
        <v>2</v>
      </c>
      <c r="C18" s="3">
        <v>2956</v>
      </c>
      <c r="D18" s="3">
        <v>2921</v>
      </c>
      <c r="E18" s="3">
        <v>2876</v>
      </c>
      <c r="F18" s="3">
        <v>2888</v>
      </c>
      <c r="G18" s="3">
        <v>2859</v>
      </c>
      <c r="H18" s="3">
        <v>2702</v>
      </c>
      <c r="I18" s="3">
        <v>2629</v>
      </c>
      <c r="J18" s="3">
        <v>2614</v>
      </c>
      <c r="K18" s="3">
        <f>+J18*0.98</f>
        <v>2561.7199999999998</v>
      </c>
      <c r="L18" s="3">
        <f t="shared" ref="L18:R18" si="59">+K18*0.98</f>
        <v>2510.4856</v>
      </c>
      <c r="M18" s="3">
        <f t="shared" si="59"/>
        <v>2460.2758880000001</v>
      </c>
      <c r="N18" s="3">
        <f t="shared" si="59"/>
        <v>2411.0703702400001</v>
      </c>
      <c r="O18" s="3">
        <f t="shared" si="59"/>
        <v>2362.8489628351999</v>
      </c>
      <c r="P18" s="3">
        <f t="shared" si="59"/>
        <v>2315.5919835784957</v>
      </c>
      <c r="Q18" s="3">
        <f t="shared" si="59"/>
        <v>2269.2801439069258</v>
      </c>
      <c r="R18" s="3">
        <f t="shared" si="59"/>
        <v>2223.8945410287874</v>
      </c>
    </row>
    <row r="19" spans="2:48" x14ac:dyDescent="0.25">
      <c r="B19" s="2" t="s">
        <v>20</v>
      </c>
      <c r="C19" s="4">
        <f t="shared" ref="C19" si="60">+C17/C18</f>
        <v>5.3903924221921518</v>
      </c>
      <c r="D19" s="4">
        <f t="shared" ref="D19" si="61">+D17/D18</f>
        <v>7.5700102704553238</v>
      </c>
      <c r="E19" s="4">
        <f t="shared" ref="E19" si="62">+E17/E18</f>
        <v>6.4273296244784426</v>
      </c>
      <c r="F19" s="4">
        <f t="shared" ref="F19" si="63">+F17/F18</f>
        <v>10.092105263157896</v>
      </c>
      <c r="G19" s="4">
        <f t="shared" ref="G19" si="64">+G17/G18</f>
        <v>13.770549143057012</v>
      </c>
      <c r="H19" s="4">
        <f t="shared" ref="H19:I19" si="65">+H17/H18</f>
        <v>8.5862324204293117</v>
      </c>
      <c r="I19" s="4">
        <f t="shared" si="65"/>
        <v>14.871814378090528</v>
      </c>
      <c r="J19" s="4">
        <f>+J17/J18</f>
        <v>23.856159143075747</v>
      </c>
      <c r="K19" s="4">
        <f t="shared" ref="K19:R19" si="66">+K17/K18</f>
        <v>27.83244390487641</v>
      </c>
      <c r="L19" s="4">
        <f t="shared" si="66"/>
        <v>34.287432844944412</v>
      </c>
      <c r="M19" s="4">
        <f t="shared" si="66"/>
        <v>43.726429513299848</v>
      </c>
      <c r="N19" s="4">
        <f t="shared" si="66"/>
        <v>53.310653633041802</v>
      </c>
      <c r="O19" s="4">
        <f t="shared" si="66"/>
        <v>64.722555275481213</v>
      </c>
      <c r="P19" s="4">
        <f t="shared" si="66"/>
        <v>78.292591061000877</v>
      </c>
      <c r="Q19" s="4">
        <f t="shared" si="66"/>
        <v>94.409616768271263</v>
      </c>
      <c r="R19" s="4">
        <f t="shared" si="66"/>
        <v>113.53110307768081</v>
      </c>
    </row>
    <row r="21" spans="2:48" x14ac:dyDescent="0.25">
      <c r="B21" s="2" t="s">
        <v>21</v>
      </c>
      <c r="D21" s="5">
        <f t="shared" ref="D21:I21" si="67">+D6/C6-1</f>
        <v>0.37352716896661997</v>
      </c>
      <c r="E21" s="5">
        <f t="shared" si="67"/>
        <v>0.26610910132884413</v>
      </c>
      <c r="F21" s="5">
        <f t="shared" si="67"/>
        <v>0.21596390228722573</v>
      </c>
      <c r="G21" s="5">
        <f t="shared" si="67"/>
        <v>0.37182574303495608</v>
      </c>
      <c r="H21" s="5">
        <f t="shared" si="67"/>
        <v>-1.1193175554782941E-2</v>
      </c>
      <c r="I21" s="5">
        <f t="shared" ref="I21:J21" si="68">+I6/H6-1</f>
        <v>0.15687468377226454</v>
      </c>
      <c r="J21" s="5">
        <f>+J6/I6-1</f>
        <v>0.21941112807816054</v>
      </c>
      <c r="K21" s="5">
        <f t="shared" ref="K21:R21" si="69">+K6/J6-1</f>
        <v>0.14999999999999991</v>
      </c>
      <c r="L21" s="5">
        <f t="shared" si="69"/>
        <v>0.14999999999999991</v>
      </c>
      <c r="M21" s="5">
        <f t="shared" si="69"/>
        <v>0.14999999999999991</v>
      </c>
      <c r="N21" s="5">
        <f t="shared" si="69"/>
        <v>0.14999999999999991</v>
      </c>
      <c r="O21" s="5">
        <f t="shared" si="69"/>
        <v>0.14999999999999991</v>
      </c>
      <c r="P21" s="5">
        <f t="shared" si="69"/>
        <v>0.14999999999999991</v>
      </c>
      <c r="Q21" s="5">
        <f t="shared" si="69"/>
        <v>0.14999999999999991</v>
      </c>
      <c r="R21" s="5">
        <f t="shared" si="69"/>
        <v>0.14999999999999991</v>
      </c>
    </row>
    <row r="23" spans="2:48" x14ac:dyDescent="0.25">
      <c r="B23" s="2" t="s">
        <v>22</v>
      </c>
      <c r="C23" s="5">
        <f t="shared" ref="C23:G23" si="70">+C8/C6</f>
        <v>0.86584015939783043</v>
      </c>
      <c r="D23" s="5">
        <f t="shared" si="70"/>
        <v>0.8324617643898421</v>
      </c>
      <c r="E23" s="5">
        <f t="shared" si="70"/>
        <v>0.81936998741106415</v>
      </c>
      <c r="F23" s="5">
        <f t="shared" si="70"/>
        <v>0.80582795323678236</v>
      </c>
      <c r="G23" s="5">
        <f t="shared" si="70"/>
        <v>0.80794376277251567</v>
      </c>
      <c r="H23" s="5">
        <f t="shared" ref="H23:J23" si="71">+H8/H6</f>
        <v>0.78347297378418479</v>
      </c>
      <c r="I23" s="5">
        <f t="shared" si="71"/>
        <v>0.8075714222176098</v>
      </c>
      <c r="J23" s="5">
        <f>+J8/J6</f>
        <v>0.81665157050717019</v>
      </c>
      <c r="K23" s="5">
        <f t="shared" ref="K23:P23" si="72">+K8/K6</f>
        <v>0.82000000000000006</v>
      </c>
      <c r="L23" s="5">
        <f t="shared" si="72"/>
        <v>0.82000000000000006</v>
      </c>
      <c r="M23" s="5">
        <f t="shared" si="72"/>
        <v>0.82000000000000006</v>
      </c>
      <c r="N23" s="5">
        <f t="shared" si="72"/>
        <v>0.82000000000000006</v>
      </c>
      <c r="O23" s="5">
        <f t="shared" si="72"/>
        <v>0.82000000000000006</v>
      </c>
      <c r="P23" s="5">
        <f t="shared" si="72"/>
        <v>0.82000000000000006</v>
      </c>
      <c r="Q23" s="5">
        <f t="shared" ref="Q23:R23" si="73">+Q8/Q6</f>
        <v>0.82</v>
      </c>
      <c r="R23" s="5">
        <f t="shared" si="73"/>
        <v>0.82</v>
      </c>
    </row>
    <row r="24" spans="2:48" x14ac:dyDescent="0.25">
      <c r="B24" s="2" t="s">
        <v>23</v>
      </c>
      <c r="C24" s="5">
        <f t="shared" ref="C24:G24" si="74">+C13/C6</f>
        <v>0.49696209381841439</v>
      </c>
      <c r="D24" s="5">
        <f t="shared" si="74"/>
        <v>0.44616569361366809</v>
      </c>
      <c r="E24" s="5">
        <f t="shared" si="74"/>
        <v>0.33927889443682191</v>
      </c>
      <c r="F24" s="5">
        <f t="shared" si="74"/>
        <v>0.3800500203571221</v>
      </c>
      <c r="G24" s="5">
        <f t="shared" si="74"/>
        <v>0.39645040660058173</v>
      </c>
      <c r="H24" s="5">
        <f t="shared" ref="H24:J24" si="75">+H13/H6</f>
        <v>0.24821411726367604</v>
      </c>
      <c r="I24" s="5">
        <f t="shared" si="75"/>
        <v>0.34655527716416362</v>
      </c>
      <c r="J24" s="5">
        <f>+J13/J6</f>
        <v>0.42176035404040096</v>
      </c>
      <c r="K24" s="5">
        <f t="shared" ref="K24:P24" si="76">+K13/K6</f>
        <v>0.42593927405753845</v>
      </c>
      <c r="L24" s="5">
        <f t="shared" si="76"/>
        <v>0.43064020674818726</v>
      </c>
      <c r="M24" s="5">
        <f t="shared" si="76"/>
        <v>0.45493236268312753</v>
      </c>
      <c r="N24" s="5">
        <f t="shared" si="76"/>
        <v>0.45885128766720346</v>
      </c>
      <c r="O24" s="5">
        <f t="shared" si="76"/>
        <v>0.46242943656570751</v>
      </c>
      <c r="P24" s="5">
        <f t="shared" si="76"/>
        <v>0.46569644208173294</v>
      </c>
      <c r="Q24" s="5">
        <f t="shared" ref="Q24:R24" si="77">+Q13/Q6</f>
        <v>0.46867936016158218</v>
      </c>
      <c r="R24" s="5">
        <f t="shared" si="77"/>
        <v>0.47140289406057495</v>
      </c>
    </row>
    <row r="25" spans="2:48" x14ac:dyDescent="0.25">
      <c r="B25" s="2" t="s">
        <v>24</v>
      </c>
      <c r="C25" s="5">
        <f t="shared" ref="C25:G25" si="78">+C17/C6</f>
        <v>0.39195139350109465</v>
      </c>
      <c r="D25" s="5">
        <f t="shared" si="78"/>
        <v>0.39600272216053584</v>
      </c>
      <c r="E25" s="5">
        <f t="shared" si="78"/>
        <v>0.26146795479298979</v>
      </c>
      <c r="F25" s="5">
        <f t="shared" si="78"/>
        <v>0.3390449601582039</v>
      </c>
      <c r="G25" s="5">
        <f t="shared" si="78"/>
        <v>0.33384494059985248</v>
      </c>
      <c r="H25" s="5">
        <f t="shared" ref="H25:J25" si="79">+H17/H6</f>
        <v>0.19895548371051977</v>
      </c>
      <c r="I25" s="5">
        <f t="shared" si="79"/>
        <v>0.28982520644616094</v>
      </c>
      <c r="J25" s="5">
        <f>+J17/J6</f>
        <v>0.37908584142345642</v>
      </c>
      <c r="K25" s="5">
        <f t="shared" ref="K25:P25" si="80">+K17/K6</f>
        <v>0.37689173925994368</v>
      </c>
      <c r="L25" s="5">
        <f t="shared" si="80"/>
        <v>0.39566577139969233</v>
      </c>
      <c r="M25" s="5">
        <f t="shared" si="80"/>
        <v>0.42999733437206494</v>
      </c>
      <c r="N25" s="5">
        <f t="shared" si="80"/>
        <v>0.44674941203397672</v>
      </c>
      <c r="O25" s="5">
        <f t="shared" si="80"/>
        <v>0.46220418415092668</v>
      </c>
      <c r="P25" s="5">
        <f t="shared" si="80"/>
        <v>0.47646073791014482</v>
      </c>
      <c r="Q25" s="5">
        <f t="shared" ref="Q25:R25" si="81">+Q17/Q6</f>
        <v>0.48961072550611806</v>
      </c>
      <c r="R25" s="5">
        <f t="shared" si="81"/>
        <v>0.50173890896851936</v>
      </c>
    </row>
    <row r="27" spans="2:48" x14ac:dyDescent="0.25">
      <c r="B27" s="2" t="s">
        <v>25</v>
      </c>
      <c r="C27" s="3">
        <v>24216</v>
      </c>
      <c r="D27" s="3">
        <v>29274</v>
      </c>
      <c r="E27" s="3">
        <v>36314</v>
      </c>
      <c r="F27" s="3">
        <v>38747</v>
      </c>
      <c r="G27" s="3">
        <v>57683</v>
      </c>
      <c r="H27" s="3">
        <v>50475</v>
      </c>
      <c r="I27" s="3">
        <v>71113</v>
      </c>
      <c r="J27" s="3">
        <v>91328</v>
      </c>
      <c r="T27" s="2" t="s">
        <v>40</v>
      </c>
      <c r="U27" s="5">
        <v>0.1</v>
      </c>
    </row>
    <row r="28" spans="2:48" x14ac:dyDescent="0.25">
      <c r="B28" s="2" t="s">
        <v>26</v>
      </c>
      <c r="C28" s="3">
        <v>6733</v>
      </c>
      <c r="D28" s="3">
        <v>13915</v>
      </c>
      <c r="E28" s="3">
        <v>15102</v>
      </c>
      <c r="F28" s="3">
        <v>15115</v>
      </c>
      <c r="G28" s="3">
        <v>18567</v>
      </c>
      <c r="H28" s="3">
        <v>31186</v>
      </c>
      <c r="I28" s="3">
        <v>27045</v>
      </c>
      <c r="J28" s="3">
        <v>37256</v>
      </c>
      <c r="T28" s="2" t="s">
        <v>41</v>
      </c>
      <c r="U28" s="5">
        <v>0</v>
      </c>
    </row>
    <row r="29" spans="2:48" x14ac:dyDescent="0.25">
      <c r="B29" s="2" t="s">
        <v>27</v>
      </c>
      <c r="C29" s="3">
        <f t="shared" ref="C29:E29" si="82">+C27-C28</f>
        <v>17483</v>
      </c>
      <c r="D29" s="3">
        <f t="shared" si="82"/>
        <v>15359</v>
      </c>
      <c r="E29" s="3">
        <f t="shared" si="82"/>
        <v>21212</v>
      </c>
      <c r="F29" s="3">
        <f t="shared" ref="F29" si="83">+F27-F28</f>
        <v>23632</v>
      </c>
      <c r="G29" s="3">
        <f t="shared" ref="G29" si="84">+G27-G28</f>
        <v>39116</v>
      </c>
      <c r="H29" s="3">
        <f>+H27-H28</f>
        <v>19289</v>
      </c>
      <c r="I29" s="3">
        <f t="shared" ref="I29:J29" si="85">+I27-I28</f>
        <v>44068</v>
      </c>
      <c r="J29" s="3">
        <f t="shared" si="85"/>
        <v>54072</v>
      </c>
      <c r="T29" s="2" t="s">
        <v>42</v>
      </c>
      <c r="U29" s="5">
        <v>0.06</v>
      </c>
    </row>
    <row r="30" spans="2:48" x14ac:dyDescent="0.25">
      <c r="T30" s="2" t="s">
        <v>43</v>
      </c>
      <c r="U30" s="4">
        <f>+NPV(U27,K17:AV17)+main!J6-main!J7</f>
        <v>1894992.5882769094</v>
      </c>
    </row>
    <row r="31" spans="2:48" x14ac:dyDescent="0.25">
      <c r="B31" s="2" t="s">
        <v>28</v>
      </c>
      <c r="C31" s="2">
        <v>1976</v>
      </c>
      <c r="D31" s="3">
        <v>12879</v>
      </c>
      <c r="E31" s="3">
        <v>4202</v>
      </c>
      <c r="F31" s="3">
        <v>6272</v>
      </c>
      <c r="G31" s="3">
        <v>44537</v>
      </c>
      <c r="H31" s="3">
        <v>27956</v>
      </c>
      <c r="I31" s="3">
        <v>19774</v>
      </c>
      <c r="J31" s="3">
        <v>30125</v>
      </c>
      <c r="T31" s="2" t="s">
        <v>1</v>
      </c>
      <c r="U31" s="4">
        <f>+U30/main!J4</f>
        <v>747.92716386704399</v>
      </c>
    </row>
    <row r="32" spans="2:48" x14ac:dyDescent="0.25">
      <c r="B32" s="2" t="s">
        <v>29</v>
      </c>
      <c r="D32" s="3"/>
      <c r="E32" s="3"/>
      <c r="F32" s="3"/>
      <c r="G32" s="3"/>
      <c r="H32" s="3"/>
      <c r="I32" s="3"/>
      <c r="J32" s="3">
        <v>5072</v>
      </c>
    </row>
    <row r="34" spans="2:18" x14ac:dyDescent="0.25">
      <c r="B34" s="2" t="s">
        <v>30</v>
      </c>
    </row>
    <row r="35" spans="2:18" x14ac:dyDescent="0.25">
      <c r="B35" s="2" t="s">
        <v>11</v>
      </c>
      <c r="C35" s="5">
        <f>+C9/C$6</f>
        <v>0.19073623102846038</v>
      </c>
      <c r="D35" s="5">
        <f t="shared" ref="D35:J35" si="86">+D9/D$6</f>
        <v>0.18397865253053475</v>
      </c>
      <c r="E35" s="5">
        <f t="shared" si="86"/>
        <v>0.19237025616362788</v>
      </c>
      <c r="F35" s="5">
        <f t="shared" si="86"/>
        <v>0.21458733205374281</v>
      </c>
      <c r="G35" s="5">
        <f t="shared" si="86"/>
        <v>0.20906647219937419</v>
      </c>
      <c r="H35" s="5">
        <f t="shared" si="86"/>
        <v>0.30304693462768739</v>
      </c>
      <c r="I35" s="5">
        <f t="shared" si="86"/>
        <v>0.28526634149234259</v>
      </c>
      <c r="J35" s="5">
        <f t="shared" si="86"/>
        <v>0.26670354587510109</v>
      </c>
    </row>
    <row r="36" spans="2:18" x14ac:dyDescent="0.25">
      <c r="B36" s="2" t="s">
        <v>12</v>
      </c>
      <c r="C36" s="5">
        <f t="shared" ref="C36:J36" si="87">+C10/C$6</f>
        <v>0.1162275846800974</v>
      </c>
      <c r="D36" s="5">
        <f t="shared" si="87"/>
        <v>0.14051362871163006</v>
      </c>
      <c r="E36" s="5">
        <f t="shared" si="87"/>
        <v>0.139694753667058</v>
      </c>
      <c r="F36" s="5">
        <f t="shared" si="87"/>
        <v>0.13483394404699586</v>
      </c>
      <c r="G36" s="5">
        <f t="shared" si="87"/>
        <v>0.11908012448167965</v>
      </c>
      <c r="H36" s="5">
        <f t="shared" si="87"/>
        <v>0.13088183587887728</v>
      </c>
      <c r="I36" s="5">
        <f t="shared" si="87"/>
        <v>9.118471186490934E-2</v>
      </c>
      <c r="J36" s="5">
        <f t="shared" si="87"/>
        <v>6.8978304083257849E-2</v>
      </c>
    </row>
    <row r="37" spans="2:18" x14ac:dyDescent="0.25">
      <c r="B37" s="2" t="s">
        <v>13</v>
      </c>
      <c r="C37" s="5">
        <f t="shared" ref="C37:J37" si="88">+C11/C$6</f>
        <v>6.1914249870858237E-2</v>
      </c>
      <c r="D37" s="5">
        <f t="shared" si="88"/>
        <v>6.1803789534009099E-2</v>
      </c>
      <c r="E37" s="5">
        <f t="shared" si="88"/>
        <v>0.14802608314355631</v>
      </c>
      <c r="F37" s="5">
        <f t="shared" si="88"/>
        <v>7.6356656778921658E-2</v>
      </c>
      <c r="G37" s="5">
        <f t="shared" si="88"/>
        <v>8.3346759490880107E-2</v>
      </c>
      <c r="H37" s="5">
        <f t="shared" si="88"/>
        <v>0.10133008601394404</v>
      </c>
      <c r="I37" s="5">
        <f t="shared" si="88"/>
        <v>8.4565091696194278E-2</v>
      </c>
      <c r="J37" s="5">
        <f t="shared" si="88"/>
        <v>5.9209366508410285E-2</v>
      </c>
    </row>
    <row r="39" spans="2:18" x14ac:dyDescent="0.25">
      <c r="B39" s="2" t="s">
        <v>31</v>
      </c>
      <c r="J39" s="3">
        <f>+main!J6-main!J7</f>
        <v>55059</v>
      </c>
      <c r="K39" s="3">
        <f>+J39+K17</f>
        <v>126357.92819999999</v>
      </c>
      <c r="L39" s="3">
        <f t="shared" ref="L39:R39" si="89">+K39+L17</f>
        <v>212436.03461819998</v>
      </c>
      <c r="M39" s="3">
        <f t="shared" si="89"/>
        <v>320015.11481810315</v>
      </c>
      <c r="N39" s="3">
        <f t="shared" si="89"/>
        <v>448550.85221085767</v>
      </c>
      <c r="O39" s="3">
        <f t="shared" si="89"/>
        <v>601480.47481557238</v>
      </c>
      <c r="P39" s="3">
        <f t="shared" si="89"/>
        <v>782774.17105001537</v>
      </c>
      <c r="Q39" s="3">
        <f t="shared" si="89"/>
        <v>997016.03977611568</v>
      </c>
      <c r="R39" s="3">
        <f t="shared" si="89"/>
        <v>1249497.2401475466</v>
      </c>
    </row>
    <row r="41" spans="2:18" x14ac:dyDescent="0.25">
      <c r="B41" s="2" t="s">
        <v>39</v>
      </c>
      <c r="C41" s="3"/>
      <c r="D41" s="3"/>
      <c r="E41" s="3"/>
      <c r="F41" s="3"/>
      <c r="G41" s="3"/>
      <c r="H41" s="3"/>
      <c r="I41" s="3"/>
      <c r="J41" s="3">
        <v>74067</v>
      </c>
    </row>
  </sheetData>
  <hyperlinks>
    <hyperlink ref="A1" location="main!A1" display="main" xr:uid="{EA30B8C2-C29B-4FD9-9513-72DE1868BC0C}"/>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2025-04-12T12:41:28Z</dcterms:created>
  <dcterms:modified xsi:type="dcterms:W3CDTF">2025-04-12T13:13:37Z</dcterms:modified>
</cp:coreProperties>
</file>