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185" documentId="13_ncr:1_{1098E479-6D45-4E5F-85E8-F47A96F900A3}" xr6:coauthVersionLast="47" xr6:coauthVersionMax="47" xr10:uidLastSave="{BEE3A180-D3F3-4084-9BC3-EA9308EF911B}"/>
  <bookViews>
    <workbookView xWindow="-108" yWindow="-108" windowWidth="23256" windowHeight="12456" activeTab="1" xr2:uid="{407585AE-1F7D-4D74-89A4-F5DF8D12E245}"/>
  </bookViews>
  <sheets>
    <sheet name="main" sheetId="1" r:id="rId1"/>
    <sheet name="model" sheetId="2" r:id="rId2"/>
    <sheet name="Holde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a="1"/>
  <c r="L3" i="1" s="1"/>
  <c r="R3" i="2"/>
  <c r="S3" i="2" s="1"/>
  <c r="T3" i="2" s="1"/>
  <c r="U3" i="2" s="1"/>
  <c r="V3" i="2" s="1"/>
  <c r="W3" i="2" s="1"/>
  <c r="P2" i="2"/>
  <c r="O2" i="2" s="1"/>
  <c r="N2" i="2" s="1"/>
  <c r="L4" i="1"/>
  <c r="Q16" i="2"/>
  <c r="Q19" i="2" s="1"/>
  <c r="Q21" i="2" s="1"/>
  <c r="Q25" i="2" s="1"/>
  <c r="W16" i="2"/>
  <c r="W19" i="2" s="1"/>
  <c r="V16" i="2"/>
  <c r="V19" i="2" s="1"/>
  <c r="U16" i="2"/>
  <c r="U19" i="2" s="1"/>
  <c r="T16" i="2"/>
  <c r="S16" i="2"/>
  <c r="S19" i="2" s="1"/>
  <c r="R16" i="2"/>
  <c r="R19" i="2" s="1"/>
  <c r="R2" i="2"/>
  <c r="S2" i="2" s="1"/>
  <c r="T2" i="2" s="1"/>
  <c r="U2" i="2" s="1"/>
  <c r="V2" i="2" s="1"/>
  <c r="W2" i="2" s="1"/>
  <c r="X2" i="2" s="1"/>
  <c r="Y2" i="2" s="1"/>
  <c r="Z2" i="2" s="1"/>
  <c r="AA2" i="2" s="1"/>
  <c r="AB2" i="2" s="1"/>
  <c r="AC2" i="2" s="1"/>
  <c r="AD2" i="2" s="1"/>
  <c r="AE2" i="2" s="1"/>
  <c r="AF2" i="2" s="1"/>
  <c r="AG2" i="2" s="1"/>
  <c r="AH2" i="2" s="1"/>
  <c r="AI2" i="2" s="1"/>
  <c r="AJ2" i="2" s="1"/>
  <c r="AK2" i="2" s="1"/>
  <c r="AL2" i="2" s="1"/>
  <c r="AM2" i="2" s="1"/>
  <c r="AN2" i="2" s="1"/>
  <c r="AO2" i="2" s="1"/>
  <c r="AP2" i="2" s="1"/>
  <c r="AQ2" i="2" s="1"/>
  <c r="AR2" i="2" s="1"/>
  <c r="I3" i="2"/>
  <c r="J3" i="2" s="1"/>
  <c r="L7" i="1"/>
  <c r="M3" i="1" l="1"/>
  <c r="L5" i="1"/>
  <c r="L8" i="1" s="1"/>
  <c r="S27" i="2"/>
  <c r="R21" i="2"/>
  <c r="R29" i="2"/>
  <c r="S21" i="2"/>
  <c r="S29" i="2"/>
  <c r="U27" i="2"/>
  <c r="R27" i="2"/>
  <c r="E90" i="3"/>
  <c r="E39" i="3"/>
  <c r="E88" i="3"/>
  <c r="E25" i="3"/>
  <c r="E10" i="3"/>
  <c r="E11" i="3"/>
  <c r="E32" i="3"/>
  <c r="E55" i="3"/>
  <c r="E24" i="3"/>
  <c r="E89" i="3"/>
  <c r="E27" i="3"/>
  <c r="E34" i="3"/>
  <c r="E3" i="3"/>
  <c r="E19" i="3"/>
  <c r="E35" i="3"/>
  <c r="E51" i="3"/>
  <c r="E67" i="3"/>
  <c r="E83" i="3"/>
  <c r="E99" i="3"/>
  <c r="E7" i="3"/>
  <c r="E71" i="3"/>
  <c r="E8" i="3"/>
  <c r="E72" i="3"/>
  <c r="E9" i="3"/>
  <c r="E73" i="3"/>
  <c r="E26" i="3"/>
  <c r="E74" i="3"/>
  <c r="E43" i="3"/>
  <c r="E91" i="3"/>
  <c r="E44" i="3"/>
  <c r="E92" i="3"/>
  <c r="E45" i="3"/>
  <c r="E61" i="3"/>
  <c r="E14" i="3"/>
  <c r="E30" i="3"/>
  <c r="E78" i="3"/>
  <c r="E94" i="3"/>
  <c r="E31" i="3"/>
  <c r="E63" i="3"/>
  <c r="E95" i="3"/>
  <c r="E48" i="3"/>
  <c r="E80" i="3"/>
  <c r="E17" i="3"/>
  <c r="E49" i="3"/>
  <c r="E97" i="3"/>
  <c r="E18" i="3"/>
  <c r="E50" i="3"/>
  <c r="E98" i="3"/>
  <c r="E4" i="3"/>
  <c r="E20" i="3"/>
  <c r="E36" i="3"/>
  <c r="E52" i="3"/>
  <c r="E68" i="3"/>
  <c r="E84" i="3"/>
  <c r="E100" i="3"/>
  <c r="E87" i="3"/>
  <c r="E40" i="3"/>
  <c r="E41" i="3"/>
  <c r="E42" i="3"/>
  <c r="E59" i="3"/>
  <c r="E12" i="3"/>
  <c r="E76" i="3"/>
  <c r="E13" i="3"/>
  <c r="E77" i="3"/>
  <c r="E46" i="3"/>
  <c r="E15" i="3"/>
  <c r="E79" i="3"/>
  <c r="E64" i="3"/>
  <c r="E33" i="3"/>
  <c r="E81" i="3"/>
  <c r="E82" i="3"/>
  <c r="E5" i="3"/>
  <c r="E21" i="3"/>
  <c r="E37" i="3"/>
  <c r="E53" i="3"/>
  <c r="E69" i="3"/>
  <c r="E85" i="3"/>
  <c r="E101" i="3"/>
  <c r="E23" i="3"/>
  <c r="E56" i="3"/>
  <c r="E57" i="3"/>
  <c r="E58" i="3"/>
  <c r="E75" i="3"/>
  <c r="E28" i="3"/>
  <c r="E60" i="3"/>
  <c r="E29" i="3"/>
  <c r="E93" i="3"/>
  <c r="E62" i="3"/>
  <c r="E47" i="3"/>
  <c r="E16" i="3"/>
  <c r="E96" i="3"/>
  <c r="E65" i="3"/>
  <c r="E66" i="3"/>
  <c r="E6" i="3"/>
  <c r="E22" i="3"/>
  <c r="E38" i="3"/>
  <c r="E54" i="3"/>
  <c r="E70" i="3"/>
  <c r="E86" i="3"/>
  <c r="E102" i="3"/>
  <c r="W29" i="2"/>
  <c r="W21" i="2"/>
  <c r="T19" i="2"/>
  <c r="T21" i="2" s="1"/>
  <c r="T25" i="2" s="1"/>
  <c r="T27" i="2"/>
  <c r="U29" i="2"/>
  <c r="U21" i="2"/>
  <c r="V21" i="2"/>
  <c r="V29" i="2"/>
  <c r="W27" i="2"/>
  <c r="V27" i="2"/>
  <c r="T30" i="2" l="1"/>
  <c r="S30" i="2"/>
  <c r="S25" i="2"/>
  <c r="S31" i="2" s="1"/>
  <c r="R25" i="2"/>
  <c r="R31" i="2" s="1"/>
  <c r="R30" i="2"/>
  <c r="T29" i="2"/>
  <c r="W25" i="2"/>
  <c r="W30" i="2"/>
  <c r="V25" i="2"/>
  <c r="V31" i="2" s="1"/>
  <c r="V30" i="2"/>
  <c r="U30" i="2"/>
  <c r="U25" i="2"/>
  <c r="U31" i="2" s="1"/>
  <c r="T31" i="2"/>
  <c r="X25" i="2" l="1"/>
  <c r="W31" i="2"/>
  <c r="Y25" i="2" l="1"/>
  <c r="Z25" i="2" s="1"/>
  <c r="AA25" i="2" s="1"/>
  <c r="AB25" i="2" s="1"/>
  <c r="AC25" i="2" s="1"/>
  <c r="AD25" i="2" s="1"/>
  <c r="AE25" i="2" s="1"/>
  <c r="AF25" i="2" s="1"/>
  <c r="AG25" i="2" s="1"/>
  <c r="AH25" i="2" s="1"/>
  <c r="AI25" i="2" s="1"/>
  <c r="AJ25" i="2" s="1"/>
  <c r="AK25" i="2" s="1"/>
  <c r="AL25" i="2" s="1"/>
  <c r="AM25" i="2" s="1"/>
  <c r="AN25" i="2" s="1"/>
  <c r="AO25" i="2" s="1"/>
  <c r="AP25" i="2" s="1"/>
  <c r="AQ25" i="2" s="1"/>
  <c r="AR25" i="2" s="1"/>
  <c r="Z28"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<sst xmlns="http://schemas.openxmlformats.org/spreadsheetml/2006/main" count="181" uniqueCount="178">
  <si>
    <t>Ticket</t>
  </si>
  <si>
    <t>Price</t>
  </si>
  <si>
    <t>Shares</t>
  </si>
  <si>
    <t>MC</t>
  </si>
  <si>
    <t>Cash</t>
  </si>
  <si>
    <t>Debt</t>
  </si>
  <si>
    <t>EV</t>
  </si>
  <si>
    <t>Founder</t>
  </si>
  <si>
    <t>CEO</t>
  </si>
  <si>
    <t>Abel Avellan</t>
  </si>
  <si>
    <t>Founded</t>
  </si>
  <si>
    <t>HQ</t>
  </si>
  <si>
    <t xml:space="preserve">IPO </t>
  </si>
  <si>
    <t>Industry</t>
  </si>
  <si>
    <t>AST SpaceMobile is building the first and only global cellular broadband network in space</t>
  </si>
  <si>
    <t>Notes:</t>
  </si>
  <si>
    <t>Strategic Partners(Investors)</t>
  </si>
  <si>
    <t>Revenue</t>
  </si>
  <si>
    <t>Q1 2023</t>
  </si>
  <si>
    <t>Q2 2023</t>
  </si>
  <si>
    <t>Q3 2023</t>
  </si>
  <si>
    <t>Q4 2023</t>
  </si>
  <si>
    <t>Q1 2024</t>
  </si>
  <si>
    <t>Q2 2024</t>
  </si>
  <si>
    <t>Q3 2024</t>
  </si>
  <si>
    <t>Q4 2024</t>
  </si>
  <si>
    <t>D&amp;A</t>
  </si>
  <si>
    <t>Midland, Texas</t>
  </si>
  <si>
    <t>Insider %</t>
  </si>
  <si>
    <t>Satellites</t>
  </si>
  <si>
    <t>Launched</t>
  </si>
  <si>
    <t>Supplemental Coverage Subs</t>
  </si>
  <si>
    <t>Day Pass Units Sold</t>
  </si>
  <si>
    <t>Primary Broadband Subs</t>
  </si>
  <si>
    <t>Subs</t>
  </si>
  <si>
    <t>ARPU</t>
  </si>
  <si>
    <t>Government &amp; Military</t>
  </si>
  <si>
    <t>Supplemental Coverage Subs ( Monthly)</t>
  </si>
  <si>
    <t>Primary Broadband Subs (Monthly)</t>
  </si>
  <si>
    <t>COGS</t>
  </si>
  <si>
    <t>Opex</t>
  </si>
  <si>
    <t>Gross Profit</t>
  </si>
  <si>
    <t>Operating Income</t>
  </si>
  <si>
    <t>Adj EBITDA</t>
  </si>
  <si>
    <t>FCF</t>
  </si>
  <si>
    <t>Capex</t>
  </si>
  <si>
    <t>Discount</t>
  </si>
  <si>
    <t>NPV</t>
  </si>
  <si>
    <t>Revenue y/y</t>
  </si>
  <si>
    <t>Gross Margin</t>
  </si>
  <si>
    <t>Operating Margin</t>
  </si>
  <si>
    <t>FCF Margin</t>
  </si>
  <si>
    <t>Holders</t>
  </si>
  <si>
    <t>VANGUARD GROUP INC</t>
  </si>
  <si>
    <t>BlackRock, Inc.</t>
  </si>
  <si>
    <t>SUSQUEHANNA INTERNATIONAL GROUP, LLP</t>
  </si>
  <si>
    <t>D. E. Shaw &amp; Co., Inc.</t>
  </si>
  <si>
    <t>CITADEL ADVISORS LLC</t>
  </si>
  <si>
    <t>Broad Run Investment Management, LLC</t>
  </si>
  <si>
    <t>HENDERSON GROUP PLC</t>
  </si>
  <si>
    <t>GEODE CAPITAL MANAGEMENT, LLC</t>
  </si>
  <si>
    <t>STATE STREET CORP</t>
  </si>
  <si>
    <t>MORGAN STANLEY</t>
  </si>
  <si>
    <t>T. Rowe Price Investment Management, Inc.</t>
  </si>
  <si>
    <t>CITIGROUP INC</t>
  </si>
  <si>
    <t>JANE STREET GROUP, LLC</t>
  </si>
  <si>
    <t>NOMURA HOLDINGS INC</t>
  </si>
  <si>
    <t>WOLVERINE TRADING, LLC</t>
  </si>
  <si>
    <t>SCHWAB CHARLES INVESTMENT MANAGEMENT INC</t>
  </si>
  <si>
    <t>NORTHERN TRUST CORP</t>
  </si>
  <si>
    <t>UBS Group AG</t>
  </si>
  <si>
    <t>GOLDMAN SACHS GROUP INC</t>
  </si>
  <si>
    <t>Skaana Management L.P.</t>
  </si>
  <si>
    <t>OPPENHEIMER &amp; CO INC</t>
  </si>
  <si>
    <t>BARCLAYS PLC</t>
  </si>
  <si>
    <t>MASTERS CAPITAL MANAGEMENT LLC</t>
  </si>
  <si>
    <t>JPMORGAN CHASE &amp; CO</t>
  </si>
  <si>
    <t>Cubist Systematic Strategies, LLC</t>
  </si>
  <si>
    <t>Bank of New York Mellon Corp</t>
  </si>
  <si>
    <t>Squarepoint Ops LLC</t>
  </si>
  <si>
    <t>Gotham Asset Management, LLC</t>
  </si>
  <si>
    <t>Once Capital Management, LLC</t>
  </si>
  <si>
    <t>PEAK6 LLC</t>
  </si>
  <si>
    <t>MILLENNIUM MANAGEMENT LLC</t>
  </si>
  <si>
    <t>Caption Management, LLC</t>
  </si>
  <si>
    <t>FIRST TRUST ADVISORS LP</t>
  </si>
  <si>
    <t>LPL Financial LLC</t>
  </si>
  <si>
    <t>Nuveen Asset Management, LLC</t>
  </si>
  <si>
    <t>NATIONAL BANK OF CANADA /FI/</t>
  </si>
  <si>
    <t>Swiss National Bank</t>
  </si>
  <si>
    <t>IHT Wealth Management, LLC</t>
  </si>
  <si>
    <t>UBS ASSET MANAGEMENT AMERICAS INC</t>
  </si>
  <si>
    <t>SIMPLEX TRADING, LLC</t>
  </si>
  <si>
    <t>VAN ECK ASSOCIATES CORP</t>
  </si>
  <si>
    <t>Walleye Trading LLC</t>
  </si>
  <si>
    <t>ExodusPoint Capital Management, LP</t>
  </si>
  <si>
    <t>FMR LLC</t>
  </si>
  <si>
    <t>TWINBEECH CAPITAL LP</t>
  </si>
  <si>
    <t>RHUMBLINE ADVISERS</t>
  </si>
  <si>
    <t>Walleye Capital LLC</t>
  </si>
  <si>
    <t>DEUTSCHE BANK AG\</t>
  </si>
  <si>
    <t>Marshall Wace LLP</t>
  </si>
  <si>
    <t>Sender Co &amp; Partners, Inc.</t>
  </si>
  <si>
    <t>TORONTO DOMINION BANK</t>
  </si>
  <si>
    <t>Key Colony Management, LLC</t>
  </si>
  <si>
    <t>FORA Capital, LLC</t>
  </si>
  <si>
    <t>DnB Asset Management AS</t>
  </si>
  <si>
    <t>PNC FINANCIAL SERVICES GROUP, INC.</t>
  </si>
  <si>
    <t>BANK OF AMERICA CORP /DE/</t>
  </si>
  <si>
    <t>BNP PARIBAS ARBITRAGE, SA</t>
  </si>
  <si>
    <t>LEGAL &amp; GENERAL GROUP PLC</t>
  </si>
  <si>
    <t>CALIFORNIA STATE TEACHERS RETIREMENT SYSTEM</t>
  </si>
  <si>
    <t>Quinn Opportunity Partners LLC</t>
  </si>
  <si>
    <t>ALLIANCEBERNSTEIN L.P.</t>
  </si>
  <si>
    <t>WELLS FARGO &amp; COMPANY/MN</t>
  </si>
  <si>
    <t>Privium Fund Management B.V.</t>
  </si>
  <si>
    <t>Salvus Wealth Management, LLC</t>
  </si>
  <si>
    <t>STATE OF WISCONSIN INVESTMENT BOARD</t>
  </si>
  <si>
    <t>PRICE T ROWE ASSOCIATES INC /MD/</t>
  </si>
  <si>
    <t>Dynamic Advisors Solutions LLC</t>
  </si>
  <si>
    <t>LA FINANCIERE DE LECHIQUIER</t>
  </si>
  <si>
    <t>Penserra Capital Management LLC</t>
  </si>
  <si>
    <t>EAM Investors, LLC</t>
  </si>
  <si>
    <t>Cetera Investment Advisers</t>
  </si>
  <si>
    <t>Magnetar Financial LLC</t>
  </si>
  <si>
    <t>Neuberger Berman Group LLC</t>
  </si>
  <si>
    <t>MANUFACTURERS LIFE INSURANCE COMPANY, THE</t>
  </si>
  <si>
    <t>MetLife Investment Advisors Company, LLC</t>
  </si>
  <si>
    <t>State of New Jersey Common Pension Fund D</t>
  </si>
  <si>
    <t>COMMONWEALTH EQUITY SERVICES, LLC</t>
  </si>
  <si>
    <t>MIRAE ASSET GLOBAL ETFS HOLDINGS Ltd.</t>
  </si>
  <si>
    <t>HighTower Advisors, LLC</t>
  </si>
  <si>
    <t>Invesco Ltd.</t>
  </si>
  <si>
    <t>Meteora Capital, LLC</t>
  </si>
  <si>
    <t>SCOTIA CAPITAL INC.</t>
  </si>
  <si>
    <t>Harvest Investment Services, LLC</t>
  </si>
  <si>
    <t>Corebridge Financial, Inc.</t>
  </si>
  <si>
    <t>IPG Investment Advisors LLC</t>
  </si>
  <si>
    <t>RAYMOND JAMES FINANCIAL INC</t>
  </si>
  <si>
    <t>Verition Fund Management LLC</t>
  </si>
  <si>
    <t>Chicago Partners Investment Group LLC</t>
  </si>
  <si>
    <t>INTECH INVESTMENT MANAGEMENT LLC</t>
  </si>
  <si>
    <t>Advisory Services Network, LLC</t>
  </si>
  <si>
    <t>Nebula Research &amp; Development LLC</t>
  </si>
  <si>
    <t>Ensign Peak Advisors, Inc</t>
  </si>
  <si>
    <t>TWO SIGMA INVESTMENTS, LP</t>
  </si>
  <si>
    <t>STIFEL FINANCIAL CORP</t>
  </si>
  <si>
    <t>IMC-Chicago, LLC</t>
  </si>
  <si>
    <t>DIMENSIONAL FUND ADVISORS LP</t>
  </si>
  <si>
    <t>Ionic Capital Management LLC</t>
  </si>
  <si>
    <t>Engineers Gate Manager LP</t>
  </si>
  <si>
    <t>Arizona State Retirement System</t>
  </si>
  <si>
    <t>CAXTON ASSOCIATES LP</t>
  </si>
  <si>
    <t>Name</t>
  </si>
  <si>
    <t>Value</t>
  </si>
  <si>
    <t>Products</t>
  </si>
  <si>
    <t>Next Lauch</t>
  </si>
  <si>
    <t>Targets</t>
  </si>
  <si>
    <t xml:space="preserve">  25 BB satelittes to start generating revenue in the US</t>
  </si>
  <si>
    <t xml:space="preserve">  45-60 Sats to start operating in Europe and Japan</t>
  </si>
  <si>
    <t xml:space="preserve">  building the first and only global Cellular Broadband network in space to be accessible directly by everyday smartphones </t>
  </si>
  <si>
    <t xml:space="preserve">  5,8 billion mobile subscribers, which 3,4 billion have no cellullar broadband coverage</t>
  </si>
  <si>
    <t xml:space="preserve">  $1,1T TAM</t>
  </si>
  <si>
    <t xml:space="preserve">  90% of earth surface doesnt have cellular coverage</t>
  </si>
  <si>
    <t xml:space="preserve">  First 5 commercial satellites lauched successfully</t>
  </si>
  <si>
    <t xml:space="preserve">  CEO Avellan owns a 25% economic interest in the Company and takes no salary</t>
  </si>
  <si>
    <t xml:space="preserve">  3500 patents </t>
  </si>
  <si>
    <t xml:space="preserve">  Internet up tp 120mbps</t>
  </si>
  <si>
    <t xml:space="preserve">  95% vertically integrated manufacturing</t>
  </si>
  <si>
    <t xml:space="preserve">  AT&amp;T</t>
  </si>
  <si>
    <t xml:space="preserve">  Verizon</t>
  </si>
  <si>
    <t xml:space="preserve">  Rakuten Mobile</t>
  </si>
  <si>
    <t xml:space="preserve">  American Tower Corporation</t>
  </si>
  <si>
    <t xml:space="preserve">  Bell Canada</t>
  </si>
  <si>
    <t xml:space="preserve">  Google</t>
  </si>
  <si>
    <t xml:space="preserve">  Vodafone</t>
  </si>
  <si>
    <t xml:space="preserve">  Building and testing 6 sats per month</t>
  </si>
  <si>
    <t>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</si>
</sst>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_([$$-409]* #,##0.00_);_([$$-409]* \(#,##0.00\);_([$$-409]* &quot;-&quot;??_);_(@_)"/>
    <numFmt numFmtId="165" formatCode="#,##0_ ;[Red]\-#,##0\ "/>
    <numFmt numFmtId="166" formatCode="0.0%"/>
  </numFmts>
  <fonts count="5" x14ac:knownFonts="1">
    <font>
      <sz val="11"/>
      <color theme="1"/>
      <name val="Aptos Narrow"/>
      <family val="2"/>
      <scheme val="minor"/>
    </font>
    <font>
      <sz val="10"/>
      <color theme="1"/>
      <name val="Arial"/>
      <family val="2"/>
    </font>
    <font>
      <b/>
      <sz val="10"/>
      <color theme="1"/>
      <name val="Arial"/>
      <family val="2"/>
    </font>
    <font>
      <b/>
      <sz val="11"/>
      <color theme="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164" fontId="1" fillId="0" borderId="0" xfId="0" applyNumberFormat="1" applyFont="1"/>
    <xf numFmtId="0" fontId="2" fillId="0" borderId="0" xfId="0" applyFont="1"/>
    <xf numFmtId="3" fontId="1" fillId="0" borderId="0" xfId="0" applyNumberFormat="1" applyFont="1"/>
    <xf numFmtId="9" fontId="1" fillId="0" borderId="0" xfId="0" applyNumberFormat="1" applyFont="1"/>
    <xf numFmtId="4" fontId="1" fillId="0" borderId="0" xfId="0" applyNumberFormat="1" applyFont="1"/>
    <xf numFmtId="165" fontId="1" fillId="0" borderId="0" xfId="0" applyNumberFormat="1" applyFont="1"/>
    <xf numFmtId="166" fontId="1" fillId="0" borderId="0" xfId="0" applyNumberFormat="1" applyFont="1"/>
    <xf numFmtId="3" fontId="2" fillId="0" borderId="0" xfId="0" applyNumberFormat="1" applyFont="1"/>
    <xf numFmtId="0" fontId="4" fillId="0" borderId="0" xfId="0" applyFont="1"/>
    <xf numFmtId="3" fontId="4" fillId="0" borderId="0" xfId="0" applyNumberFormat="1" applyFont="1"/>
    <xf numFmtId="6" fontId="0" fillId="0" borderId="0" xfId="0" applyNumberFormat="1"/>
    <xf numFmtId="0" fontId="3" fillId="0" borderId="0" xfId="0" applyFont="1"/>
    <xf numFmtId="17" fontId="1" fillId="0" borderId="0" xfId="0" applyNumberFormat="1" applyFont="1"/>
    <xf numFmtId="0" fontId="1" fillId="0" borderId="0" xfId="0" applyFont="1" applyAlignment="1">
      <alignment horizontal="left"/>
    </xf>
    <xf numFmtId="9"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https://www.bing.com/financeapi/forcetrigger?t=bsmyr7&amp;q=XNAS%3aASTS&amp;form=skydnc</v>
    <v>Learn more on Bing</v>
  </rv>
  <rv s="1">
    <v>en-GB</v>
    <v>bsmyr7</v>
    <v>268435456</v>
    <v>1</v>
    <v>Powered by Refinitiv</v>
    <v>0</v>
    <v>AST SPACEMOBILE, INC. (XNAS:ASTS)</v>
    <v>2</v>
    <v>3</v>
    <v>Finance</v>
    <v>4</v>
    <v>39.08</v>
    <v>1.99</v>
    <v>2.0156999999999998</v>
    <v>-1.51</v>
    <v>-1.4947999999999999E-2</v>
    <v>-6.9972000000000006E-2</v>
    <v>-0.3</v>
    <v>USD</v>
    <v>AST SpaceMobile, Inc. is engaged in building a global cellular broadband network in space to operate directly with standard, unmodified mobile devices based on its intellectual property (IP) and patent portfolio and designed for both commercial and government applications. The Company is engaged in designing and developing the constellation of BlueBird (BB) satellites and has planned space-based Cellular Broadband network distributed through a constellation of low Earth orbit (LEO) satellites. Its SpaceMobile Service is being designed to provide high-speed cellular broadband services to end-users who are out of terrestrial cellular coverage using existing mobile devices. The Company intends to continue testing capabilities of the BW3 test satellite, including further testing with cellular service providers and the government. The Company has operations in India, Scotland, Spain, Israel and Lithuania.</v>
    <v>578</v>
    <v>Nasdaq Stock Market</v>
    <v>XNAS</v>
    <v>XNAS</v>
    <v>Midland Intl. Air &amp; Space Port, 2901 Enterprise Lane, MIDLAND, TX, 79706 US</v>
    <v>21.1524</v>
    <v>Telecommunications Services</v>
    <v>Stock</v>
    <v>45751.999980693749</v>
    <v>0</v>
    <v>18.5</v>
    <v>6351991000</v>
    <v>AST SPACEMOBILE, INC.</v>
    <v>AST SPACEMOBILE, INC.</v>
    <v>20.6</v>
    <v>0</v>
    <v>21.58</v>
    <v>20.07</v>
    <v>19.77</v>
    <v>316491800</v>
    <v>ASTS</v>
    <v>AST SPACEMOBILE, INC. (XNAS:ASTS)</v>
    <v>13320592</v>
    <v>11406631</v>
    <v>2019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1950A-879A-4EFB-9826-4CC7283C8A59}">
  <dimension ref="B2:M31"/>
  <sheetViews>
    <sheetView showGridLines="0" workbookViewId="0">
      <selection activeCell="F10" sqref="F10"/>
    </sheetView>
  </sheetViews>
  <sheetFormatPr defaultColWidth="9.109375" defaultRowHeight="13.2" x14ac:dyDescent="0.25"/>
  <cols>
    <col min="1" max="1" width="9.109375" style="1"/>
    <col min="2" max="2" width="16" style="1" customWidth="1"/>
    <col min="3" max="5" width="9.109375" style="1"/>
    <col min="6" max="6" width="10.44140625" style="1" bestFit="1" customWidth="1"/>
    <col min="7" max="11" width="9.109375" style="1"/>
    <col min="12" max="12" width="10.44140625" style="1" bestFit="1" customWidth="1"/>
    <col min="13" max="16384" width="9.109375" style="1"/>
  </cols>
  <sheetData>
    <row r="2" spans="2:13" x14ac:dyDescent="0.25">
      <c r="K2" s="3" t="s">
        <v>0</v>
      </c>
      <c r="L2" s="1" t="e" vm="1">
        <v>#VALUE!</v>
      </c>
    </row>
    <row r="3" spans="2:13" x14ac:dyDescent="0.25">
      <c r="B3" s="3" t="s">
        <v>16</v>
      </c>
      <c r="F3" s="3" t="s">
        <v>7</v>
      </c>
      <c r="G3" s="15" t="s">
        <v>9</v>
      </c>
      <c r="K3" s="3" t="s">
        <v>1</v>
      </c>
      <c r="L3" s="2" cm="1">
        <f t="array" aca="1" ref="L3" ca="1">+_FV(L2,"Price")</f>
        <v>20.07</v>
      </c>
      <c r="M3" s="4">
        <f ca="1">+L3*1534</f>
        <v>30787.38</v>
      </c>
    </row>
    <row r="4" spans="2:13" x14ac:dyDescent="0.25">
      <c r="B4" s="1" t="s">
        <v>169</v>
      </c>
      <c r="F4" s="3" t="s">
        <v>8</v>
      </c>
      <c r="G4" s="15" t="s">
        <v>9</v>
      </c>
      <c r="K4" s="3" t="s">
        <v>2</v>
      </c>
      <c r="L4" s="1">
        <f>227.101453+11.227292+78.163078</f>
        <v>316.49182300000001</v>
      </c>
    </row>
    <row r="5" spans="2:13" x14ac:dyDescent="0.25">
      <c r="B5" s="1" t="s">
        <v>170</v>
      </c>
      <c r="F5" s="3" t="s">
        <v>10</v>
      </c>
      <c r="G5" s="15">
        <v>2017</v>
      </c>
      <c r="K5" s="3" t="s">
        <v>3</v>
      </c>
      <c r="L5" s="4">
        <f ca="1">+L3*L4</f>
        <v>6351.9908876100008</v>
      </c>
    </row>
    <row r="6" spans="2:13" x14ac:dyDescent="0.25">
      <c r="B6" s="1" t="s">
        <v>175</v>
      </c>
      <c r="F6" s="3" t="s">
        <v>11</v>
      </c>
      <c r="G6" s="15" t="s">
        <v>27</v>
      </c>
      <c r="K6" s="3" t="s">
        <v>4</v>
      </c>
      <c r="L6" s="4">
        <v>1000</v>
      </c>
    </row>
    <row r="7" spans="2:13" x14ac:dyDescent="0.25">
      <c r="B7" s="1" t="s">
        <v>171</v>
      </c>
      <c r="F7" s="3" t="s">
        <v>12</v>
      </c>
      <c r="G7" s="15">
        <v>2021</v>
      </c>
      <c r="K7" s="3" t="s">
        <v>5</v>
      </c>
      <c r="L7" s="4">
        <f>44.635+156.252</f>
        <v>200.887</v>
      </c>
    </row>
    <row r="8" spans="2:13" x14ac:dyDescent="0.25">
      <c r="B8" s="1" t="s">
        <v>172</v>
      </c>
      <c r="F8" s="3" t="s">
        <v>13</v>
      </c>
      <c r="G8" s="15"/>
      <c r="K8" s="3" t="s">
        <v>6</v>
      </c>
      <c r="L8" s="4">
        <f ca="1">+L5-L6+L7</f>
        <v>5552.8778876100005</v>
      </c>
    </row>
    <row r="9" spans="2:13" x14ac:dyDescent="0.25">
      <c r="B9" s="1" t="s">
        <v>173</v>
      </c>
      <c r="F9" s="3" t="s">
        <v>28</v>
      </c>
      <c r="G9" s="16">
        <v>0.50280000000000002</v>
      </c>
    </row>
    <row r="10" spans="2:13" x14ac:dyDescent="0.25">
      <c r="B10" s="1" t="s">
        <v>174</v>
      </c>
      <c r="F10" s="3" t="s">
        <v>177</v>
      </c>
      <c r="G10" s="1">
        <v>578</v>
      </c>
      <c r="K10" s="1" t="s">
        <v>14</v>
      </c>
    </row>
    <row r="12" spans="2:13" x14ac:dyDescent="0.25">
      <c r="B12" s="3" t="s">
        <v>15</v>
      </c>
    </row>
    <row r="13" spans="2:13" x14ac:dyDescent="0.25">
      <c r="B13" s="1" t="s">
        <v>161</v>
      </c>
    </row>
    <row r="14" spans="2:13" x14ac:dyDescent="0.25">
      <c r="B14" s="1" t="s">
        <v>162</v>
      </c>
    </row>
    <row r="15" spans="2:13" x14ac:dyDescent="0.25">
      <c r="B15" s="1" t="s">
        <v>163</v>
      </c>
    </row>
    <row r="16" spans="2:13" x14ac:dyDescent="0.25">
      <c r="B16" s="1" t="s">
        <v>164</v>
      </c>
    </row>
    <row r="17" spans="2:3" x14ac:dyDescent="0.25">
      <c r="B17" s="1" t="s">
        <v>165</v>
      </c>
    </row>
    <row r="18" spans="2:3" x14ac:dyDescent="0.25">
      <c r="B18" s="1" t="s">
        <v>166</v>
      </c>
    </row>
    <row r="19" spans="2:3" x14ac:dyDescent="0.25">
      <c r="B19" s="1" t="s">
        <v>167</v>
      </c>
    </row>
    <row r="20" spans="2:3" x14ac:dyDescent="0.25">
      <c r="B20" s="1" t="s">
        <v>168</v>
      </c>
    </row>
    <row r="22" spans="2:3" x14ac:dyDescent="0.25">
      <c r="B22" s="3" t="s">
        <v>155</v>
      </c>
    </row>
    <row r="23" spans="2:3" x14ac:dyDescent="0.25">
      <c r="B23" s="1" t="s">
        <v>160</v>
      </c>
    </row>
    <row r="25" spans="2:3" x14ac:dyDescent="0.25">
      <c r="B25" s="1" t="s">
        <v>156</v>
      </c>
      <c r="C25" s="14">
        <v>45748</v>
      </c>
    </row>
    <row r="28" spans="2:3" x14ac:dyDescent="0.25">
      <c r="B28" s="3" t="s">
        <v>157</v>
      </c>
    </row>
    <row r="29" spans="2:3" x14ac:dyDescent="0.25">
      <c r="B29" s="1" t="s">
        <v>158</v>
      </c>
    </row>
    <row r="30" spans="2:3" x14ac:dyDescent="0.25">
      <c r="B30" s="1" t="s">
        <v>159</v>
      </c>
    </row>
    <row r="31" spans="2:3" x14ac:dyDescent="0.25">
      <c r="B31" s="1"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7BE69-E223-491A-9610-FD200A14B7A9}">
  <dimension ref="A2:AR31"/>
  <sheetViews>
    <sheetView tabSelected="1" workbookViewId="0">
      <pane xSplit="2" ySplit="2" topLeftCell="K3" activePane="bottomRight" state="frozen"/>
      <selection pane="topRight" activeCell="C1" sqref="C1"/>
      <selection pane="bottomLeft" activeCell="A3" sqref="A3"/>
      <selection pane="bottomRight" activeCell="Q15" sqref="Q15"/>
    </sheetView>
  </sheetViews>
  <sheetFormatPr defaultColWidth="9.109375" defaultRowHeight="13.2" x14ac:dyDescent="0.25"/>
  <cols>
    <col min="1" max="1" width="6.109375" style="1" bestFit="1" customWidth="1"/>
    <col min="2" max="2" width="35" style="1" bestFit="1" customWidth="1"/>
    <col min="3" max="25" width="9.109375" style="1"/>
    <col min="26" max="26" width="9.6640625" style="1" bestFit="1" customWidth="1"/>
    <col min="27" max="16384" width="9.109375" style="1"/>
  </cols>
  <sheetData>
    <row r="2" spans="1:44" x14ac:dyDescent="0.25">
      <c r="C2" s="3" t="s">
        <v>18</v>
      </c>
      <c r="D2" s="3" t="s">
        <v>19</v>
      </c>
      <c r="E2" s="3" t="s">
        <v>20</v>
      </c>
      <c r="F2" s="3" t="s">
        <v>21</v>
      </c>
      <c r="G2" s="3" t="s">
        <v>22</v>
      </c>
      <c r="H2" s="3" t="s">
        <v>23</v>
      </c>
      <c r="I2" s="3" t="s">
        <v>24</v>
      </c>
      <c r="J2" s="3" t="s">
        <v>25</v>
      </c>
      <c r="L2" s="3">
        <v>2019</v>
      </c>
      <c r="M2" s="3">
        <v>2020</v>
      </c>
      <c r="N2" s="3">
        <f t="shared" ref="N2:P2" si="0">+O2-1</f>
        <v>2021</v>
      </c>
      <c r="O2" s="3">
        <f t="shared" si="0"/>
        <v>2022</v>
      </c>
      <c r="P2" s="3">
        <f>+Q2-1</f>
        <v>2023</v>
      </c>
      <c r="Q2" s="3">
        <v>2024</v>
      </c>
      <c r="R2" s="3">
        <f>+Q2+1</f>
        <v>2025</v>
      </c>
      <c r="S2" s="3">
        <f t="shared" ref="S2:W2" si="1">+R2+1</f>
        <v>2026</v>
      </c>
      <c r="T2" s="3">
        <f t="shared" si="1"/>
        <v>2027</v>
      </c>
      <c r="U2" s="3">
        <f t="shared" si="1"/>
        <v>2028</v>
      </c>
      <c r="V2" s="3">
        <f t="shared" si="1"/>
        <v>2029</v>
      </c>
      <c r="W2" s="3">
        <f t="shared" si="1"/>
        <v>2030</v>
      </c>
      <c r="X2" s="3">
        <f t="shared" ref="X2" si="2">+W2+1</f>
        <v>2031</v>
      </c>
      <c r="Y2" s="3">
        <f t="shared" ref="Y2" si="3">+X2+1</f>
        <v>2032</v>
      </c>
      <c r="Z2" s="3">
        <f t="shared" ref="Z2" si="4">+Y2+1</f>
        <v>2033</v>
      </c>
      <c r="AA2" s="3">
        <f t="shared" ref="AA2" si="5">+Z2+1</f>
        <v>2034</v>
      </c>
      <c r="AB2" s="3">
        <f t="shared" ref="AB2" si="6">+AA2+1</f>
        <v>2035</v>
      </c>
      <c r="AC2" s="3">
        <f t="shared" ref="AC2" si="7">+AB2+1</f>
        <v>2036</v>
      </c>
      <c r="AD2" s="3">
        <f t="shared" ref="AD2" si="8">+AC2+1</f>
        <v>2037</v>
      </c>
      <c r="AE2" s="3">
        <f t="shared" ref="AE2" si="9">+AD2+1</f>
        <v>2038</v>
      </c>
      <c r="AF2" s="3">
        <f t="shared" ref="AF2" si="10">+AE2+1</f>
        <v>2039</v>
      </c>
      <c r="AG2" s="3">
        <f t="shared" ref="AG2" si="11">+AF2+1</f>
        <v>2040</v>
      </c>
      <c r="AH2" s="3">
        <f t="shared" ref="AH2" si="12">+AG2+1</f>
        <v>2041</v>
      </c>
      <c r="AI2" s="3">
        <f t="shared" ref="AI2" si="13">+AH2+1</f>
        <v>2042</v>
      </c>
      <c r="AJ2" s="3">
        <f t="shared" ref="AJ2" si="14">+AI2+1</f>
        <v>2043</v>
      </c>
      <c r="AK2" s="3">
        <f t="shared" ref="AK2" si="15">+AJ2+1</f>
        <v>2044</v>
      </c>
      <c r="AL2" s="3">
        <f t="shared" ref="AL2" si="16">+AK2+1</f>
        <v>2045</v>
      </c>
      <c r="AM2" s="3">
        <f t="shared" ref="AM2" si="17">+AL2+1</f>
        <v>2046</v>
      </c>
      <c r="AN2" s="3">
        <f t="shared" ref="AN2" si="18">+AM2+1</f>
        <v>2047</v>
      </c>
      <c r="AO2" s="3">
        <f t="shared" ref="AO2" si="19">+AN2+1</f>
        <v>2048</v>
      </c>
      <c r="AP2" s="3">
        <f t="shared" ref="AP2" si="20">+AO2+1</f>
        <v>2049</v>
      </c>
      <c r="AQ2" s="3">
        <f t="shared" ref="AQ2" si="21">+AP2+1</f>
        <v>2050</v>
      </c>
      <c r="AR2" s="3">
        <f t="shared" ref="AR2" si="22">+AQ2+1</f>
        <v>2051</v>
      </c>
    </row>
    <row r="3" spans="1:44" x14ac:dyDescent="0.25">
      <c r="B3" s="3" t="s">
        <v>29</v>
      </c>
      <c r="C3" s="3"/>
      <c r="D3" s="3"/>
      <c r="E3" s="3"/>
      <c r="F3" s="3"/>
      <c r="G3" s="3"/>
      <c r="H3" s="3">
        <v>5</v>
      </c>
      <c r="I3" s="3">
        <f>+H3</f>
        <v>5</v>
      </c>
      <c r="J3" s="3">
        <f t="shared" ref="J3" si="23">+I3</f>
        <v>5</v>
      </c>
      <c r="K3" s="3"/>
      <c r="L3" s="3">
        <v>1</v>
      </c>
      <c r="M3" s="3">
        <v>1</v>
      </c>
      <c r="N3" s="3">
        <v>1</v>
      </c>
      <c r="O3" s="3">
        <v>1</v>
      </c>
      <c r="P3" s="3">
        <v>1</v>
      </c>
      <c r="Q3" s="3">
        <v>6</v>
      </c>
      <c r="R3" s="3">
        <f>+Q3+S4</f>
        <v>36</v>
      </c>
      <c r="S3" s="3">
        <f t="shared" ref="S3:T3" si="24">+R3+S4</f>
        <v>66</v>
      </c>
      <c r="T3" s="3">
        <f t="shared" si="24"/>
        <v>106</v>
      </c>
      <c r="U3" s="3">
        <f t="shared" ref="U3" si="25">+T3+U4</f>
        <v>126</v>
      </c>
      <c r="V3" s="3">
        <f t="shared" ref="V3" si="26">+U3+V4</f>
        <v>146</v>
      </c>
      <c r="W3" s="3">
        <f t="shared" ref="W3" si="27">+V3+W4</f>
        <v>166</v>
      </c>
    </row>
    <row r="4" spans="1:44" x14ac:dyDescent="0.25">
      <c r="B4" s="1" t="s">
        <v>30</v>
      </c>
      <c r="H4" s="1">
        <v>5</v>
      </c>
      <c r="L4" s="1">
        <v>1</v>
      </c>
      <c r="Q4" s="1">
        <v>5</v>
      </c>
      <c r="R4" s="1">
        <v>30</v>
      </c>
      <c r="S4" s="1">
        <v>30</v>
      </c>
      <c r="T4" s="1">
        <v>40</v>
      </c>
      <c r="U4" s="1">
        <v>20</v>
      </c>
      <c r="V4" s="1">
        <v>20</v>
      </c>
      <c r="W4" s="1">
        <v>20</v>
      </c>
    </row>
    <row r="5" spans="1:44" x14ac:dyDescent="0.25">
      <c r="A5" s="1" t="s">
        <v>34</v>
      </c>
      <c r="C5" s="3"/>
      <c r="D5" s="3"/>
      <c r="E5" s="3"/>
      <c r="F5" s="3"/>
      <c r="G5" s="3"/>
      <c r="H5" s="3"/>
      <c r="I5" s="3"/>
      <c r="J5" s="3"/>
    </row>
    <row r="6" spans="1:44" x14ac:dyDescent="0.25">
      <c r="B6" s="1" t="s">
        <v>37</v>
      </c>
      <c r="C6" s="3"/>
      <c r="D6" s="3"/>
      <c r="E6" s="3"/>
      <c r="F6" s="3"/>
      <c r="G6" s="3"/>
      <c r="H6" s="3"/>
      <c r="I6" s="3"/>
      <c r="J6" s="3"/>
      <c r="Q6" s="4"/>
      <c r="R6" s="4">
        <v>0</v>
      </c>
      <c r="S6" s="4">
        <v>1492</v>
      </c>
      <c r="T6" s="4">
        <v>4698</v>
      </c>
      <c r="U6" s="4">
        <v>8222</v>
      </c>
      <c r="V6" s="4">
        <v>10360</v>
      </c>
      <c r="W6" s="4">
        <v>11784</v>
      </c>
    </row>
    <row r="7" spans="1:44" x14ac:dyDescent="0.25">
      <c r="B7" s="1" t="s">
        <v>32</v>
      </c>
      <c r="C7" s="3"/>
      <c r="D7" s="3"/>
      <c r="E7" s="3"/>
      <c r="F7" s="3"/>
      <c r="G7" s="3"/>
      <c r="H7" s="3"/>
      <c r="I7" s="3"/>
      <c r="J7" s="3"/>
      <c r="Q7" s="4"/>
      <c r="R7" s="4">
        <v>0</v>
      </c>
      <c r="S7" s="4">
        <v>22373</v>
      </c>
      <c r="T7" s="4">
        <v>93966</v>
      </c>
      <c r="U7" s="4">
        <v>184995</v>
      </c>
      <c r="V7" s="4">
        <v>241727</v>
      </c>
      <c r="W7" s="4">
        <v>299137</v>
      </c>
    </row>
    <row r="8" spans="1:44" x14ac:dyDescent="0.25">
      <c r="B8" s="1" t="s">
        <v>38</v>
      </c>
      <c r="C8" s="3"/>
      <c r="D8" s="3"/>
      <c r="E8" s="3"/>
      <c r="F8" s="3"/>
      <c r="G8" s="3"/>
      <c r="H8" s="3"/>
      <c r="I8" s="3"/>
      <c r="J8" s="3"/>
      <c r="Q8" s="4"/>
      <c r="R8" s="4">
        <v>0</v>
      </c>
      <c r="S8" s="4">
        <v>0</v>
      </c>
      <c r="T8" s="4">
        <v>18032</v>
      </c>
      <c r="U8" s="4">
        <v>66267</v>
      </c>
      <c r="V8" s="4">
        <v>99400</v>
      </c>
      <c r="W8" s="4">
        <v>125244</v>
      </c>
    </row>
    <row r="9" spans="1:44" x14ac:dyDescent="0.25">
      <c r="A9" s="1" t="s">
        <v>35</v>
      </c>
      <c r="C9" s="3"/>
      <c r="D9" s="3"/>
      <c r="E9" s="3"/>
      <c r="F9" s="3"/>
      <c r="G9" s="3"/>
      <c r="H9" s="3"/>
      <c r="I9" s="3"/>
      <c r="J9" s="3"/>
      <c r="Q9" s="4"/>
      <c r="R9" s="4"/>
      <c r="S9" s="4"/>
      <c r="T9" s="4"/>
      <c r="U9" s="4"/>
      <c r="V9" s="4"/>
      <c r="W9" s="4"/>
    </row>
    <row r="10" spans="1:44" x14ac:dyDescent="0.25">
      <c r="B10" s="1" t="s">
        <v>31</v>
      </c>
      <c r="C10" s="3"/>
      <c r="D10" s="3"/>
      <c r="E10" s="3"/>
      <c r="F10" s="3"/>
      <c r="G10" s="3"/>
      <c r="H10" s="3"/>
      <c r="I10" s="3"/>
      <c r="J10" s="3"/>
      <c r="Q10" s="4"/>
      <c r="R10" s="4">
        <v>10</v>
      </c>
      <c r="S10" s="4">
        <v>10</v>
      </c>
      <c r="T10" s="4">
        <v>11</v>
      </c>
      <c r="U10" s="4">
        <v>11</v>
      </c>
      <c r="V10" s="4">
        <v>11</v>
      </c>
      <c r="W10" s="4">
        <v>12</v>
      </c>
    </row>
    <row r="11" spans="1:44" x14ac:dyDescent="0.25">
      <c r="B11" s="1" t="s">
        <v>32</v>
      </c>
      <c r="C11" s="3"/>
      <c r="D11" s="3"/>
      <c r="E11" s="3"/>
      <c r="F11" s="3"/>
      <c r="G11" s="3"/>
      <c r="H11" s="3"/>
      <c r="I11" s="3"/>
      <c r="J11" s="3"/>
      <c r="Q11" s="4"/>
      <c r="R11" s="4">
        <v>5</v>
      </c>
      <c r="S11" s="4">
        <v>5</v>
      </c>
      <c r="T11" s="4">
        <v>5.99</v>
      </c>
      <c r="U11" s="4">
        <v>5.99</v>
      </c>
      <c r="V11" s="4">
        <v>5.99</v>
      </c>
      <c r="W11" s="4">
        <v>5.99</v>
      </c>
    </row>
    <row r="12" spans="1:44" x14ac:dyDescent="0.25">
      <c r="B12" s="1" t="s">
        <v>33</v>
      </c>
      <c r="C12" s="3"/>
      <c r="D12" s="3"/>
      <c r="E12" s="3"/>
      <c r="F12" s="3"/>
      <c r="G12" s="3"/>
      <c r="H12" s="3"/>
      <c r="I12" s="3"/>
      <c r="J12" s="3"/>
      <c r="Q12" s="4"/>
      <c r="R12" s="4">
        <v>1</v>
      </c>
      <c r="S12" s="4">
        <v>1</v>
      </c>
      <c r="T12" s="4">
        <v>1</v>
      </c>
      <c r="U12" s="4">
        <v>1</v>
      </c>
      <c r="V12" s="4">
        <v>1</v>
      </c>
      <c r="W12" s="4">
        <v>1</v>
      </c>
    </row>
    <row r="13" spans="1:44" x14ac:dyDescent="0.25">
      <c r="C13" s="3"/>
      <c r="D13" s="3"/>
      <c r="E13" s="3"/>
      <c r="F13" s="3"/>
      <c r="G13" s="3"/>
      <c r="H13" s="3"/>
      <c r="I13" s="3"/>
      <c r="J13" s="3"/>
      <c r="Q13" s="4"/>
      <c r="R13" s="4"/>
      <c r="S13" s="4"/>
      <c r="T13" s="4"/>
      <c r="U13" s="4"/>
      <c r="V13" s="4"/>
      <c r="W13" s="4"/>
    </row>
    <row r="14" spans="1:44" x14ac:dyDescent="0.25">
      <c r="B14" s="1" t="s">
        <v>36</v>
      </c>
      <c r="C14" s="3"/>
      <c r="D14" s="3"/>
      <c r="E14" s="3"/>
      <c r="F14" s="3"/>
      <c r="G14" s="3"/>
      <c r="H14" s="3"/>
      <c r="I14" s="3"/>
      <c r="J14" s="3"/>
      <c r="Q14" s="4">
        <v>4</v>
      </c>
      <c r="R14" s="4">
        <v>50</v>
      </c>
      <c r="S14" s="4">
        <v>75</v>
      </c>
      <c r="T14" s="4">
        <v>150</v>
      </c>
      <c r="U14" s="4">
        <v>270</v>
      </c>
      <c r="V14" s="4">
        <v>442.8</v>
      </c>
      <c r="W14" s="4">
        <v>669.5</v>
      </c>
    </row>
    <row r="15" spans="1:44" x14ac:dyDescent="0.25">
      <c r="C15" s="3"/>
      <c r="D15" s="3"/>
      <c r="E15" s="3"/>
      <c r="F15" s="3"/>
      <c r="G15" s="3"/>
      <c r="H15" s="3"/>
      <c r="I15" s="3"/>
      <c r="J15" s="3"/>
      <c r="Q15" s="4"/>
      <c r="R15" s="4"/>
      <c r="S15" s="4"/>
      <c r="T15" s="4"/>
      <c r="U15" s="4"/>
      <c r="V15" s="4"/>
      <c r="W15" s="4"/>
    </row>
    <row r="16" spans="1:44" x14ac:dyDescent="0.25">
      <c r="B16" s="3" t="s">
        <v>17</v>
      </c>
      <c r="C16" s="3"/>
      <c r="D16" s="3"/>
      <c r="E16" s="3">
        <v>0</v>
      </c>
      <c r="F16" s="3"/>
      <c r="G16" s="3"/>
      <c r="H16" s="3"/>
      <c r="I16" s="3">
        <v>1.1000000000000001</v>
      </c>
      <c r="J16" s="3"/>
      <c r="K16" s="3"/>
      <c r="L16" s="3"/>
      <c r="M16" s="3"/>
      <c r="N16" s="3"/>
      <c r="O16" s="3"/>
      <c r="P16" s="3"/>
      <c r="Q16" s="9">
        <f t="shared" ref="Q16" si="28">+(Q6*Q10*12+Q7*Q11+Q8*Q12*12)/1000+Q14</f>
        <v>4</v>
      </c>
      <c r="R16" s="9">
        <f>+(R6*R10*12+R7*R11+R8*R12*12)/1000+R14</f>
        <v>50</v>
      </c>
      <c r="S16" s="9">
        <f t="shared" ref="S16:W16" si="29">+(S6*S10*12+S7*S11+S8*S12*12)/1000+S14</f>
        <v>365.90499999999997</v>
      </c>
      <c r="T16" s="9">
        <f t="shared" si="29"/>
        <v>1549.3763399999998</v>
      </c>
      <c r="U16" s="9">
        <f t="shared" si="29"/>
        <v>3258.6280499999998</v>
      </c>
      <c r="V16" s="9">
        <f t="shared" si="29"/>
        <v>4451.0647300000001</v>
      </c>
      <c r="W16" s="9">
        <f t="shared" si="29"/>
        <v>5661.15463</v>
      </c>
    </row>
    <row r="17" spans="2:44" x14ac:dyDescent="0.25">
      <c r="Q17" s="4"/>
      <c r="R17" s="4"/>
      <c r="S17" s="4"/>
      <c r="T17" s="4"/>
      <c r="U17" s="4"/>
      <c r="V17" s="4"/>
      <c r="W17" s="4"/>
    </row>
    <row r="18" spans="2:44" x14ac:dyDescent="0.25">
      <c r="B18" s="1" t="s">
        <v>39</v>
      </c>
      <c r="Q18" s="4">
        <v>0.3</v>
      </c>
      <c r="R18" s="4">
        <v>1</v>
      </c>
      <c r="S18" s="4">
        <v>5.5</v>
      </c>
      <c r="T18" s="4">
        <v>15.8</v>
      </c>
      <c r="U18" s="4">
        <v>25.1</v>
      </c>
      <c r="V18" s="4">
        <v>25.9</v>
      </c>
      <c r="W18" s="4">
        <v>24.1</v>
      </c>
    </row>
    <row r="19" spans="2:44" x14ac:dyDescent="0.25">
      <c r="B19" s="1" t="s">
        <v>41</v>
      </c>
      <c r="Q19" s="4">
        <f t="shared" ref="Q19" si="30">+Q16-Q18</f>
        <v>3.7</v>
      </c>
      <c r="R19" s="4">
        <f>+R16-R18</f>
        <v>49</v>
      </c>
      <c r="S19" s="4">
        <f t="shared" ref="S19:W19" si="31">+S16-S18</f>
        <v>360.40499999999997</v>
      </c>
      <c r="T19" s="4">
        <f t="shared" si="31"/>
        <v>1533.5763399999998</v>
      </c>
      <c r="U19" s="4">
        <f t="shared" si="31"/>
        <v>3233.5280499999999</v>
      </c>
      <c r="V19" s="4">
        <f t="shared" si="31"/>
        <v>4425.1647300000004</v>
      </c>
      <c r="W19" s="4">
        <f t="shared" si="31"/>
        <v>5637.0546299999996</v>
      </c>
    </row>
    <row r="20" spans="2:44" x14ac:dyDescent="0.25">
      <c r="B20" s="1" t="s">
        <v>40</v>
      </c>
      <c r="Q20" s="4">
        <v>146.6</v>
      </c>
      <c r="R20" s="4">
        <v>135.5</v>
      </c>
      <c r="S20" s="4">
        <v>138.9</v>
      </c>
      <c r="T20" s="4">
        <v>142.4</v>
      </c>
      <c r="U20" s="4">
        <v>145.9</v>
      </c>
      <c r="V20" s="4">
        <v>149.6</v>
      </c>
      <c r="W20" s="4">
        <v>153.30000000000001</v>
      </c>
    </row>
    <row r="21" spans="2:44" x14ac:dyDescent="0.25">
      <c r="B21" s="1" t="s">
        <v>42</v>
      </c>
      <c r="Q21" s="4">
        <f>+Q19-Q20</f>
        <v>-142.9</v>
      </c>
      <c r="R21" s="4">
        <f t="shared" ref="R21:W21" si="32">+R19-R20</f>
        <v>-86.5</v>
      </c>
      <c r="S21" s="4">
        <f t="shared" si="32"/>
        <v>221.50499999999997</v>
      </c>
      <c r="T21" s="4">
        <f t="shared" si="32"/>
        <v>1391.1763399999998</v>
      </c>
      <c r="U21" s="4">
        <f t="shared" si="32"/>
        <v>3087.6280499999998</v>
      </c>
      <c r="V21" s="4">
        <f t="shared" si="32"/>
        <v>4275.5647300000001</v>
      </c>
      <c r="W21" s="4">
        <f t="shared" si="32"/>
        <v>5483.7546299999995</v>
      </c>
    </row>
    <row r="22" spans="2:44" x14ac:dyDescent="0.25">
      <c r="B22" s="1" t="s">
        <v>26</v>
      </c>
      <c r="Q22" s="4">
        <v>80.3</v>
      </c>
      <c r="R22" s="4">
        <v>200</v>
      </c>
      <c r="S22" s="4">
        <v>300</v>
      </c>
      <c r="T22" s="4">
        <v>350</v>
      </c>
      <c r="U22" s="4">
        <v>400</v>
      </c>
      <c r="V22" s="4">
        <v>450</v>
      </c>
      <c r="W22" s="4">
        <v>500</v>
      </c>
    </row>
    <row r="23" spans="2:44" x14ac:dyDescent="0.25">
      <c r="B23" s="1" t="s">
        <v>43</v>
      </c>
      <c r="Q23" s="6"/>
    </row>
    <row r="24" spans="2:44" x14ac:dyDescent="0.25">
      <c r="B24" s="1" t="s">
        <v>45</v>
      </c>
      <c r="M24" s="4">
        <v>30.4</v>
      </c>
      <c r="N24" s="4">
        <v>54.8</v>
      </c>
      <c r="O24" s="4">
        <v>57.3</v>
      </c>
      <c r="P24" s="4">
        <v>118.8</v>
      </c>
      <c r="Q24" s="4">
        <v>174.12700000000001</v>
      </c>
      <c r="R24" s="1">
        <v>385</v>
      </c>
      <c r="S24" s="1">
        <v>440</v>
      </c>
      <c r="T24" s="1">
        <v>475</v>
      </c>
      <c r="U24" s="1">
        <v>275</v>
      </c>
      <c r="V24" s="1">
        <v>280</v>
      </c>
      <c r="W24" s="1">
        <v>285</v>
      </c>
    </row>
    <row r="25" spans="2:44" x14ac:dyDescent="0.25">
      <c r="B25" s="1" t="s">
        <v>44</v>
      </c>
      <c r="Q25" s="9">
        <f>+Q21-Q24</f>
        <v>-317.02700000000004</v>
      </c>
      <c r="R25" s="9">
        <f t="shared" ref="R25:W25" si="33">+R21-R24</f>
        <v>-471.5</v>
      </c>
      <c r="S25" s="9">
        <f t="shared" si="33"/>
        <v>-218.49500000000003</v>
      </c>
      <c r="T25" s="9">
        <f t="shared" si="33"/>
        <v>916.17633999999975</v>
      </c>
      <c r="U25" s="9">
        <f t="shared" si="33"/>
        <v>2812.6280499999998</v>
      </c>
      <c r="V25" s="9">
        <f t="shared" si="33"/>
        <v>3995.5647300000001</v>
      </c>
      <c r="W25" s="9">
        <f t="shared" si="33"/>
        <v>5198.7546299999995</v>
      </c>
      <c r="X25" s="9">
        <f>+W25*1.1</f>
        <v>5718.6300929999998</v>
      </c>
      <c r="Y25" s="9">
        <f t="shared" ref="Y25:Z25" si="34">+X25*1.1</f>
        <v>6290.4931022999999</v>
      </c>
      <c r="Z25" s="9">
        <f t="shared" si="34"/>
        <v>6919.5424125300005</v>
      </c>
      <c r="AA25" s="9">
        <f>+Z25*1.06</f>
        <v>7334.7149572818007</v>
      </c>
      <c r="AB25" s="9">
        <f t="shared" ref="AB25:AC25" si="35">+AA25*1.06</f>
        <v>7774.7978547187095</v>
      </c>
      <c r="AC25" s="9">
        <f t="shared" si="35"/>
        <v>8241.2857260018318</v>
      </c>
      <c r="AD25" s="9">
        <f>+AC25*1.025</f>
        <v>8447.3178691518769</v>
      </c>
      <c r="AE25" s="9">
        <f t="shared" ref="AE25:AR25" si="36">+AD25*1.025</f>
        <v>8658.5008158806722</v>
      </c>
      <c r="AF25" s="9">
        <f t="shared" si="36"/>
        <v>8874.9633362776876</v>
      </c>
      <c r="AG25" s="9">
        <f t="shared" si="36"/>
        <v>9096.8374196846289</v>
      </c>
      <c r="AH25" s="9">
        <f t="shared" si="36"/>
        <v>9324.2583551767439</v>
      </c>
      <c r="AI25" s="9">
        <f t="shared" si="36"/>
        <v>9557.3648140561618</v>
      </c>
      <c r="AJ25" s="9">
        <f t="shared" si="36"/>
        <v>9796.298934407565</v>
      </c>
      <c r="AK25" s="9">
        <f t="shared" si="36"/>
        <v>10041.206407767753</v>
      </c>
      <c r="AL25" s="9">
        <f t="shared" si="36"/>
        <v>10292.236567961947</v>
      </c>
      <c r="AM25" s="9">
        <f t="shared" si="36"/>
        <v>10549.542482160994</v>
      </c>
      <c r="AN25" s="9">
        <f t="shared" si="36"/>
        <v>10813.281044215018</v>
      </c>
      <c r="AO25" s="9">
        <f t="shared" si="36"/>
        <v>11083.613070320393</v>
      </c>
      <c r="AP25" s="9">
        <f t="shared" si="36"/>
        <v>11360.703397078401</v>
      </c>
      <c r="AQ25" s="9">
        <f t="shared" si="36"/>
        <v>11644.720982005361</v>
      </c>
      <c r="AR25" s="9">
        <f t="shared" si="36"/>
        <v>11935.839006555494</v>
      </c>
    </row>
    <row r="27" spans="2:44" x14ac:dyDescent="0.25">
      <c r="B27" s="1" t="s">
        <v>48</v>
      </c>
      <c r="R27" s="5">
        <f>+R16/Q16-1</f>
        <v>11.5</v>
      </c>
      <c r="S27" s="5">
        <f t="shared" ref="S27:W27" si="37">+S16/R16-1</f>
        <v>6.3180999999999994</v>
      </c>
      <c r="T27" s="5">
        <f t="shared" si="37"/>
        <v>3.2343677730558476</v>
      </c>
      <c r="U27" s="5">
        <f t="shared" si="37"/>
        <v>1.1031869184216405</v>
      </c>
      <c r="V27" s="5">
        <f t="shared" si="37"/>
        <v>0.36593212287606747</v>
      </c>
      <c r="W27" s="5">
        <f t="shared" si="37"/>
        <v>0.27186526671788025</v>
      </c>
      <c r="Y27" s="1" t="s">
        <v>46</v>
      </c>
      <c r="Z27" s="5">
        <v>0.2</v>
      </c>
    </row>
    <row r="28" spans="2:44" x14ac:dyDescent="0.25">
      <c r="Y28" s="1" t="s">
        <v>47</v>
      </c>
      <c r="Z28" s="7">
        <f>+NPV(Z27,Q25:AR25)</f>
        <v>14026.600325079256</v>
      </c>
    </row>
    <row r="29" spans="2:44" x14ac:dyDescent="0.25">
      <c r="B29" s="1" t="s">
        <v>49</v>
      </c>
      <c r="R29" s="8">
        <f>+R19/R16</f>
        <v>0.98</v>
      </c>
      <c r="S29" s="8">
        <f t="shared" ref="S29:W29" si="38">+S19/S16</f>
        <v>0.98496877604842792</v>
      </c>
      <c r="T29" s="8">
        <f t="shared" si="38"/>
        <v>0.98980234847267645</v>
      </c>
      <c r="U29" s="8">
        <f t="shared" si="38"/>
        <v>0.99229737189551293</v>
      </c>
      <c r="V29" s="8">
        <f t="shared" si="38"/>
        <v>0.99418116752483188</v>
      </c>
      <c r="W29" s="8">
        <f t="shared" si="38"/>
        <v>0.99574291790719016</v>
      </c>
    </row>
    <row r="30" spans="2:44" x14ac:dyDescent="0.25">
      <c r="B30" s="1" t="s">
        <v>50</v>
      </c>
      <c r="R30" s="8">
        <f>+R21/R16</f>
        <v>-1.73</v>
      </c>
      <c r="S30" s="8">
        <f t="shared" ref="S30:W30" si="39">+S21/S16</f>
        <v>0.60536204752599709</v>
      </c>
      <c r="T30" s="8">
        <f t="shared" si="39"/>
        <v>0.89789440053021585</v>
      </c>
      <c r="U30" s="8">
        <f t="shared" si="39"/>
        <v>0.94752392805309582</v>
      </c>
      <c r="V30" s="8">
        <f t="shared" si="39"/>
        <v>0.96057123168370551</v>
      </c>
      <c r="W30" s="8">
        <f t="shared" si="39"/>
        <v>0.96866363637906838</v>
      </c>
    </row>
    <row r="31" spans="2:44" x14ac:dyDescent="0.25">
      <c r="B31" s="1" t="s">
        <v>51</v>
      </c>
      <c r="R31" s="8">
        <f>+R25/R16</f>
        <v>-9.43</v>
      </c>
      <c r="S31" s="8">
        <f t="shared" ref="S31:W31" si="40">+S25/S16</f>
        <v>-0.5971358685997733</v>
      </c>
      <c r="T31" s="8">
        <f t="shared" si="40"/>
        <v>0.59131943372776674</v>
      </c>
      <c r="U31" s="8">
        <f t="shared" si="40"/>
        <v>0.86313258427883477</v>
      </c>
      <c r="V31" s="8">
        <f t="shared" si="40"/>
        <v>0.89766493465485953</v>
      </c>
      <c r="W31" s="8">
        <f t="shared" si="40"/>
        <v>0.91832054938940955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FA9C9-1139-4656-8734-F0EA2121EFCD}">
  <dimension ref="B2:E102"/>
  <sheetViews>
    <sheetView topLeftCell="B1" workbookViewId="0">
      <selection activeCell="D1" sqref="D1"/>
    </sheetView>
  </sheetViews>
  <sheetFormatPr defaultRowHeight="14.4" x14ac:dyDescent="0.3"/>
  <cols>
    <col min="3" max="3" width="49" bestFit="1" customWidth="1"/>
    <col min="4" max="4" width="11.109375" bestFit="1" customWidth="1"/>
    <col min="5" max="5" width="16.88671875" bestFit="1" customWidth="1"/>
  </cols>
  <sheetData>
    <row r="2" spans="2:5" x14ac:dyDescent="0.3">
      <c r="B2" s="13" t="s">
        <v>52</v>
      </c>
      <c r="C2" s="13" t="s">
        <v>153</v>
      </c>
      <c r="D2" s="13" t="s">
        <v>2</v>
      </c>
      <c r="E2" s="13" t="s">
        <v>154</v>
      </c>
    </row>
    <row r="3" spans="2:5" x14ac:dyDescent="0.3">
      <c r="C3" s="10" t="s">
        <v>53</v>
      </c>
      <c r="D3" s="11">
        <v>316233106</v>
      </c>
      <c r="E3" s="12">
        <f ca="1">+D3*main!$L$3</f>
        <v>6346798437.4200001</v>
      </c>
    </row>
    <row r="4" spans="2:5" x14ac:dyDescent="0.3">
      <c r="C4" s="10" t="s">
        <v>54</v>
      </c>
      <c r="D4" s="11">
        <v>227739932</v>
      </c>
      <c r="E4" s="12">
        <f ca="1">+D4*main!$L$3</f>
        <v>4570740435.2399998</v>
      </c>
    </row>
    <row r="5" spans="2:5" x14ac:dyDescent="0.3">
      <c r="C5" s="10" t="s">
        <v>55</v>
      </c>
      <c r="D5" s="11">
        <v>171667427</v>
      </c>
      <c r="E5" s="12">
        <f ca="1">+D5*main!$L$3</f>
        <v>3445365259.8899999</v>
      </c>
    </row>
    <row r="6" spans="2:5" x14ac:dyDescent="0.3">
      <c r="C6" s="10" t="s">
        <v>56</v>
      </c>
      <c r="D6" s="11">
        <v>115895675</v>
      </c>
      <c r="E6" s="12">
        <f ca="1">+D6*main!$L$3</f>
        <v>2326026197.25</v>
      </c>
    </row>
    <row r="7" spans="2:5" x14ac:dyDescent="0.3">
      <c r="C7" s="10" t="s">
        <v>57</v>
      </c>
      <c r="D7" s="11">
        <v>84936235</v>
      </c>
      <c r="E7" s="12">
        <f ca="1">+D7*main!$L$3</f>
        <v>1704670236.45</v>
      </c>
    </row>
    <row r="8" spans="2:5" x14ac:dyDescent="0.3">
      <c r="C8" s="10" t="s">
        <v>58</v>
      </c>
      <c r="D8" s="11">
        <v>79618888</v>
      </c>
      <c r="E8" s="12">
        <f ca="1">+D8*main!$L$3</f>
        <v>1597951082.1600001</v>
      </c>
    </row>
    <row r="9" spans="2:5" x14ac:dyDescent="0.3">
      <c r="C9" s="10" t="s">
        <v>59</v>
      </c>
      <c r="D9" s="11">
        <v>76713867</v>
      </c>
      <c r="E9" s="12">
        <f ca="1">+D9*main!$L$3</f>
        <v>1539647310.6900001</v>
      </c>
    </row>
    <row r="10" spans="2:5" x14ac:dyDescent="0.3">
      <c r="C10" s="10" t="s">
        <v>60</v>
      </c>
      <c r="D10" s="11">
        <v>73801144</v>
      </c>
      <c r="E10" s="12">
        <f ca="1">+D10*main!$L$3</f>
        <v>1481188960.0799999</v>
      </c>
    </row>
    <row r="11" spans="2:5" x14ac:dyDescent="0.3">
      <c r="C11" s="10" t="s">
        <v>61</v>
      </c>
      <c r="D11" s="11">
        <v>72496182</v>
      </c>
      <c r="E11" s="12">
        <f ca="1">+D11*main!$L$3</f>
        <v>1454998372.74</v>
      </c>
    </row>
    <row r="12" spans="2:5" x14ac:dyDescent="0.3">
      <c r="C12" s="10" t="s">
        <v>62</v>
      </c>
      <c r="D12" s="11">
        <v>65218097</v>
      </c>
      <c r="E12" s="12">
        <f ca="1">+D12*main!$L$3</f>
        <v>1308927206.79</v>
      </c>
    </row>
    <row r="13" spans="2:5" x14ac:dyDescent="0.3">
      <c r="C13" s="10" t="s">
        <v>63</v>
      </c>
      <c r="D13" s="11">
        <v>59523000</v>
      </c>
      <c r="E13" s="12">
        <f ca="1">+D13*main!$L$3</f>
        <v>1194626610</v>
      </c>
    </row>
    <row r="14" spans="2:5" x14ac:dyDescent="0.3">
      <c r="C14" s="10" t="s">
        <v>64</v>
      </c>
      <c r="D14" s="11">
        <v>42778309</v>
      </c>
      <c r="E14" s="12">
        <f ca="1">+D14*main!$L$3</f>
        <v>858560661.63</v>
      </c>
    </row>
    <row r="15" spans="2:5" x14ac:dyDescent="0.3">
      <c r="C15" s="10" t="s">
        <v>65</v>
      </c>
      <c r="D15" s="11">
        <v>40995590</v>
      </c>
      <c r="E15" s="12">
        <f ca="1">+D15*main!$L$3</f>
        <v>822781491.29999995</v>
      </c>
    </row>
    <row r="16" spans="2:5" x14ac:dyDescent="0.3">
      <c r="C16" s="10" t="s">
        <v>66</v>
      </c>
      <c r="D16" s="11">
        <v>36417672</v>
      </c>
      <c r="E16" s="12">
        <f ca="1">+D16*main!$L$3</f>
        <v>730902677.03999996</v>
      </c>
    </row>
    <row r="17" spans="3:5" x14ac:dyDescent="0.3">
      <c r="C17" s="10" t="s">
        <v>67</v>
      </c>
      <c r="D17" s="11">
        <v>27904237</v>
      </c>
      <c r="E17" s="12">
        <f ca="1">+D17*main!$L$3</f>
        <v>560038036.59000003</v>
      </c>
    </row>
    <row r="18" spans="3:5" x14ac:dyDescent="0.3">
      <c r="C18" s="10" t="s">
        <v>68</v>
      </c>
      <c r="D18" s="11">
        <v>26727644</v>
      </c>
      <c r="E18" s="12">
        <f ca="1">+D18*main!$L$3</f>
        <v>536423815.07999998</v>
      </c>
    </row>
    <row r="19" spans="3:5" x14ac:dyDescent="0.3">
      <c r="C19" s="10" t="s">
        <v>69</v>
      </c>
      <c r="D19" s="11">
        <v>26017481</v>
      </c>
      <c r="E19" s="12">
        <f ca="1">+D19*main!$L$3</f>
        <v>522170843.67000002</v>
      </c>
    </row>
    <row r="20" spans="3:5" x14ac:dyDescent="0.3">
      <c r="C20" s="10" t="s">
        <v>70</v>
      </c>
      <c r="D20" s="11">
        <v>24669909</v>
      </c>
      <c r="E20" s="12">
        <f ca="1">+D20*main!$L$3</f>
        <v>495125073.63</v>
      </c>
    </row>
    <row r="21" spans="3:5" x14ac:dyDescent="0.3">
      <c r="C21" s="10" t="s">
        <v>71</v>
      </c>
      <c r="D21" s="11">
        <v>24255357</v>
      </c>
      <c r="E21" s="12">
        <f ca="1">+D21*main!$L$3</f>
        <v>486805014.99000001</v>
      </c>
    </row>
    <row r="22" spans="3:5" x14ac:dyDescent="0.3">
      <c r="C22" s="10" t="s">
        <v>72</v>
      </c>
      <c r="D22" s="11">
        <v>20266550</v>
      </c>
      <c r="E22" s="12">
        <f ca="1">+D22*main!$L$3</f>
        <v>406749658.5</v>
      </c>
    </row>
    <row r="23" spans="3:5" x14ac:dyDescent="0.3">
      <c r="C23" s="10" t="s">
        <v>73</v>
      </c>
      <c r="D23" s="11">
        <v>18020729</v>
      </c>
      <c r="E23" s="12">
        <f ca="1">+D23*main!$L$3</f>
        <v>361676031.03000003</v>
      </c>
    </row>
    <row r="24" spans="3:5" x14ac:dyDescent="0.3">
      <c r="C24" s="10" t="s">
        <v>74</v>
      </c>
      <c r="D24" s="11">
        <v>17870000</v>
      </c>
      <c r="E24" s="12">
        <f ca="1">+D24*main!$L$3</f>
        <v>358650900</v>
      </c>
    </row>
    <row r="25" spans="3:5" x14ac:dyDescent="0.3">
      <c r="C25" s="10" t="s">
        <v>75</v>
      </c>
      <c r="D25" s="11">
        <v>16880000</v>
      </c>
      <c r="E25" s="12">
        <f ca="1">+D25*main!$L$3</f>
        <v>338781600</v>
      </c>
    </row>
    <row r="26" spans="3:5" x14ac:dyDescent="0.3">
      <c r="C26" s="10" t="s">
        <v>76</v>
      </c>
      <c r="D26" s="11">
        <v>16359759</v>
      </c>
      <c r="E26" s="12">
        <f ca="1">+D26*main!$L$3</f>
        <v>328340363.13</v>
      </c>
    </row>
    <row r="27" spans="3:5" x14ac:dyDescent="0.3">
      <c r="C27" s="10" t="s">
        <v>77</v>
      </c>
      <c r="D27" s="11">
        <v>16259660</v>
      </c>
      <c r="E27" s="12">
        <f ca="1">+D27*main!$L$3</f>
        <v>326331376.19999999</v>
      </c>
    </row>
    <row r="28" spans="3:5" x14ac:dyDescent="0.3">
      <c r="C28" s="10" t="s">
        <v>78</v>
      </c>
      <c r="D28" s="11">
        <v>13539397</v>
      </c>
      <c r="E28" s="12">
        <f ca="1">+D28*main!$L$3</f>
        <v>271735697.79000002</v>
      </c>
    </row>
    <row r="29" spans="3:5" x14ac:dyDescent="0.3">
      <c r="C29" s="10" t="s">
        <v>79</v>
      </c>
      <c r="D29" s="11">
        <v>12584568</v>
      </c>
      <c r="E29" s="12">
        <f ca="1">+D29*main!$L$3</f>
        <v>252572279.75999999</v>
      </c>
    </row>
    <row r="30" spans="3:5" x14ac:dyDescent="0.3">
      <c r="C30" s="10" t="s">
        <v>80</v>
      </c>
      <c r="D30" s="11">
        <v>10863778</v>
      </c>
      <c r="E30" s="12">
        <f ca="1">+D30*main!$L$3</f>
        <v>218036024.46000001</v>
      </c>
    </row>
    <row r="31" spans="3:5" x14ac:dyDescent="0.3">
      <c r="C31" s="10" t="s">
        <v>81</v>
      </c>
      <c r="D31" s="11">
        <v>10560550</v>
      </c>
      <c r="E31" s="12">
        <f ca="1">+D31*main!$L$3</f>
        <v>211950238.5</v>
      </c>
    </row>
    <row r="32" spans="3:5" x14ac:dyDescent="0.3">
      <c r="C32" s="10" t="s">
        <v>82</v>
      </c>
      <c r="D32" s="11">
        <v>9777740</v>
      </c>
      <c r="E32" s="12">
        <f ca="1">+D32*main!$L$3</f>
        <v>196239241.80000001</v>
      </c>
    </row>
    <row r="33" spans="3:5" x14ac:dyDescent="0.3">
      <c r="C33" s="10" t="s">
        <v>83</v>
      </c>
      <c r="D33" s="11">
        <v>8495641</v>
      </c>
      <c r="E33" s="12">
        <f ca="1">+D33*main!$L$3</f>
        <v>170507514.87</v>
      </c>
    </row>
    <row r="34" spans="3:5" x14ac:dyDescent="0.3">
      <c r="C34" s="10" t="s">
        <v>84</v>
      </c>
      <c r="D34" s="11">
        <v>8018000</v>
      </c>
      <c r="E34" s="12">
        <f ca="1">+D34*main!$L$3</f>
        <v>160921260</v>
      </c>
    </row>
    <row r="35" spans="3:5" x14ac:dyDescent="0.3">
      <c r="C35" s="10" t="s">
        <v>85</v>
      </c>
      <c r="D35" s="11">
        <v>7799509</v>
      </c>
      <c r="E35" s="12">
        <f ca="1">+D35*main!$L$3</f>
        <v>156536145.63</v>
      </c>
    </row>
    <row r="36" spans="3:5" x14ac:dyDescent="0.3">
      <c r="C36" s="10" t="s">
        <v>86</v>
      </c>
      <c r="D36" s="11">
        <v>7484170</v>
      </c>
      <c r="E36" s="12">
        <f ca="1">+D36*main!$L$3</f>
        <v>150207291.90000001</v>
      </c>
    </row>
    <row r="37" spans="3:5" x14ac:dyDescent="0.3">
      <c r="C37" s="10" t="s">
        <v>87</v>
      </c>
      <c r="D37" s="11">
        <v>7426504</v>
      </c>
      <c r="E37" s="12">
        <f ca="1">+D37*main!$L$3</f>
        <v>149049935.28</v>
      </c>
    </row>
    <row r="38" spans="3:5" x14ac:dyDescent="0.3">
      <c r="C38" s="10" t="s">
        <v>88</v>
      </c>
      <c r="D38" s="11">
        <v>7367255</v>
      </c>
      <c r="E38" s="12">
        <f ca="1">+D38*main!$L$3</f>
        <v>147860807.84999999</v>
      </c>
    </row>
    <row r="39" spans="3:5" x14ac:dyDescent="0.3">
      <c r="C39" s="10" t="s">
        <v>89</v>
      </c>
      <c r="D39" s="11">
        <v>6625400</v>
      </c>
      <c r="E39" s="12">
        <f ca="1">+D39*main!$L$3</f>
        <v>132971778</v>
      </c>
    </row>
    <row r="40" spans="3:5" x14ac:dyDescent="0.3">
      <c r="C40" s="10" t="s">
        <v>90</v>
      </c>
      <c r="D40" s="11">
        <v>5962860</v>
      </c>
      <c r="E40" s="12">
        <f ca="1">+D40*main!$L$3</f>
        <v>119674600.2</v>
      </c>
    </row>
    <row r="41" spans="3:5" x14ac:dyDescent="0.3">
      <c r="C41" s="10" t="s">
        <v>91</v>
      </c>
      <c r="D41" s="11">
        <v>5819590</v>
      </c>
      <c r="E41" s="12">
        <f ca="1">+D41*main!$L$3</f>
        <v>116799171.3</v>
      </c>
    </row>
    <row r="42" spans="3:5" x14ac:dyDescent="0.3">
      <c r="C42" s="10" t="s">
        <v>92</v>
      </c>
      <c r="D42" s="11">
        <v>5744000</v>
      </c>
      <c r="E42" s="12">
        <f ca="1">+D42*main!$L$3</f>
        <v>115282080</v>
      </c>
    </row>
    <row r="43" spans="3:5" x14ac:dyDescent="0.3">
      <c r="C43" s="10" t="s">
        <v>93</v>
      </c>
      <c r="D43" s="11">
        <v>5460000</v>
      </c>
      <c r="E43" s="12">
        <f ca="1">+D43*main!$L$3</f>
        <v>109582200</v>
      </c>
    </row>
    <row r="44" spans="3:5" x14ac:dyDescent="0.3">
      <c r="C44" s="10" t="s">
        <v>94</v>
      </c>
      <c r="D44" s="11">
        <v>5348850</v>
      </c>
      <c r="E44" s="12">
        <f ca="1">+D44*main!$L$3</f>
        <v>107351419.5</v>
      </c>
    </row>
    <row r="45" spans="3:5" x14ac:dyDescent="0.3">
      <c r="C45" s="10" t="s">
        <v>95</v>
      </c>
      <c r="D45" s="11">
        <v>4802000</v>
      </c>
      <c r="E45" s="12">
        <f ca="1">+D45*main!$L$3</f>
        <v>96376140</v>
      </c>
    </row>
    <row r="46" spans="3:5" x14ac:dyDescent="0.3">
      <c r="C46" s="10" t="s">
        <v>96</v>
      </c>
      <c r="D46" s="11">
        <v>4784668</v>
      </c>
      <c r="E46" s="12">
        <f ca="1">+D46*main!$L$3</f>
        <v>96028286.760000005</v>
      </c>
    </row>
    <row r="47" spans="3:5" x14ac:dyDescent="0.3">
      <c r="C47" s="10" t="s">
        <v>97</v>
      </c>
      <c r="D47" s="11">
        <v>4683525</v>
      </c>
      <c r="E47" s="12">
        <f ca="1">+D47*main!$L$3</f>
        <v>93998346.75</v>
      </c>
    </row>
    <row r="48" spans="3:5" x14ac:dyDescent="0.3">
      <c r="C48" s="10" t="s">
        <v>98</v>
      </c>
      <c r="D48" s="11">
        <v>4572733</v>
      </c>
      <c r="E48" s="12">
        <f ca="1">+D48*main!$L$3</f>
        <v>91774751.310000002</v>
      </c>
    </row>
    <row r="49" spans="3:5" x14ac:dyDescent="0.3">
      <c r="C49" s="10" t="s">
        <v>99</v>
      </c>
      <c r="D49" s="11">
        <v>4509703</v>
      </c>
      <c r="E49" s="12">
        <f ca="1">+D49*main!$L$3</f>
        <v>90509739.210000008</v>
      </c>
    </row>
    <row r="50" spans="3:5" x14ac:dyDescent="0.3">
      <c r="C50" s="10" t="s">
        <v>100</v>
      </c>
      <c r="D50" s="11">
        <v>4498584</v>
      </c>
      <c r="E50" s="12">
        <f ca="1">+D50*main!$L$3</f>
        <v>90286580.879999995</v>
      </c>
    </row>
    <row r="51" spans="3:5" x14ac:dyDescent="0.3">
      <c r="C51" s="10" t="s">
        <v>101</v>
      </c>
      <c r="D51" s="11">
        <v>4380003</v>
      </c>
      <c r="E51" s="12">
        <f ca="1">+D51*main!$L$3</f>
        <v>87906660.210000008</v>
      </c>
    </row>
    <row r="52" spans="3:5" x14ac:dyDescent="0.3">
      <c r="C52" s="10" t="s">
        <v>102</v>
      </c>
      <c r="D52" s="11">
        <v>4304906</v>
      </c>
      <c r="E52" s="12">
        <f ca="1">+D52*main!$L$3</f>
        <v>86399463.420000002</v>
      </c>
    </row>
    <row r="53" spans="3:5" x14ac:dyDescent="0.3">
      <c r="C53" s="10" t="s">
        <v>103</v>
      </c>
      <c r="D53" s="11">
        <v>4220000</v>
      </c>
      <c r="E53" s="12">
        <f ca="1">+D53*main!$L$3</f>
        <v>84695400</v>
      </c>
    </row>
    <row r="54" spans="3:5" x14ac:dyDescent="0.3">
      <c r="C54" s="10" t="s">
        <v>104</v>
      </c>
      <c r="D54" s="11">
        <v>4135600</v>
      </c>
      <c r="E54" s="12">
        <f ca="1">+D54*main!$L$3</f>
        <v>83001492</v>
      </c>
    </row>
    <row r="55" spans="3:5" x14ac:dyDescent="0.3">
      <c r="C55" s="10" t="s">
        <v>105</v>
      </c>
      <c r="D55" s="11">
        <v>3824755</v>
      </c>
      <c r="E55" s="12">
        <f ca="1">+D55*main!$L$3</f>
        <v>76762832.849999994</v>
      </c>
    </row>
    <row r="56" spans="3:5" x14ac:dyDescent="0.3">
      <c r="C56" s="10" t="s">
        <v>106</v>
      </c>
      <c r="D56" s="11">
        <v>3761455</v>
      </c>
      <c r="E56" s="12">
        <f ca="1">+D56*main!$L$3</f>
        <v>75492401.849999994</v>
      </c>
    </row>
    <row r="57" spans="3:5" x14ac:dyDescent="0.3">
      <c r="C57" s="10" t="s">
        <v>107</v>
      </c>
      <c r="D57" s="11">
        <v>3486248</v>
      </c>
      <c r="E57" s="12">
        <f ca="1">+D57*main!$L$3</f>
        <v>69968997.359999999</v>
      </c>
    </row>
    <row r="58" spans="3:5" x14ac:dyDescent="0.3">
      <c r="C58" s="10" t="s">
        <v>108</v>
      </c>
      <c r="D58" s="11">
        <v>3279193</v>
      </c>
      <c r="E58" s="12">
        <f ca="1">+D58*main!$L$3</f>
        <v>65813403.509999998</v>
      </c>
    </row>
    <row r="59" spans="3:5" x14ac:dyDescent="0.3">
      <c r="C59" s="10" t="s">
        <v>109</v>
      </c>
      <c r="D59" s="11">
        <v>3263621</v>
      </c>
      <c r="E59" s="12">
        <f ca="1">+D59*main!$L$3</f>
        <v>65500873.469999999</v>
      </c>
    </row>
    <row r="60" spans="3:5" x14ac:dyDescent="0.3">
      <c r="C60" s="10" t="s">
        <v>110</v>
      </c>
      <c r="D60" s="11">
        <v>3129593</v>
      </c>
      <c r="E60" s="12">
        <f ca="1">+D60*main!$L$3</f>
        <v>62810931.509999998</v>
      </c>
    </row>
    <row r="61" spans="3:5" x14ac:dyDescent="0.3">
      <c r="C61" s="10" t="s">
        <v>111</v>
      </c>
      <c r="D61" s="11">
        <v>3110773</v>
      </c>
      <c r="E61" s="12">
        <f ca="1">+D61*main!$L$3</f>
        <v>62433214.109999999</v>
      </c>
    </row>
    <row r="62" spans="3:5" x14ac:dyDescent="0.3">
      <c r="C62" s="10" t="s">
        <v>112</v>
      </c>
      <c r="D62" s="11">
        <v>3070050</v>
      </c>
      <c r="E62" s="12">
        <f ca="1">+D62*main!$L$3</f>
        <v>61615903.5</v>
      </c>
    </row>
    <row r="63" spans="3:5" x14ac:dyDescent="0.3">
      <c r="C63" s="10" t="s">
        <v>113</v>
      </c>
      <c r="D63" s="11">
        <v>2993879</v>
      </c>
      <c r="E63" s="12">
        <f ca="1">+D63*main!$L$3</f>
        <v>60087151.530000001</v>
      </c>
    </row>
    <row r="64" spans="3:5" x14ac:dyDescent="0.3">
      <c r="C64" s="10" t="s">
        <v>114</v>
      </c>
      <c r="D64" s="11">
        <v>2486044</v>
      </c>
      <c r="E64" s="12">
        <f ca="1">+D64*main!$L$3</f>
        <v>49894903.079999998</v>
      </c>
    </row>
    <row r="65" spans="3:5" x14ac:dyDescent="0.3">
      <c r="C65" s="10" t="s">
        <v>115</v>
      </c>
      <c r="D65" s="11">
        <v>2352650</v>
      </c>
      <c r="E65" s="12">
        <f ca="1">+D65*main!$L$3</f>
        <v>47217685.5</v>
      </c>
    </row>
    <row r="66" spans="3:5" x14ac:dyDescent="0.3">
      <c r="C66" s="10" t="s">
        <v>116</v>
      </c>
      <c r="D66" s="11">
        <v>2290975</v>
      </c>
      <c r="E66" s="12">
        <f ca="1">+D66*main!$L$3</f>
        <v>45979868.25</v>
      </c>
    </row>
    <row r="67" spans="3:5" x14ac:dyDescent="0.3">
      <c r="C67" s="10" t="s">
        <v>117</v>
      </c>
      <c r="D67" s="11">
        <v>2286101</v>
      </c>
      <c r="E67" s="12">
        <f ca="1">+D67*main!$L$3</f>
        <v>45882047.07</v>
      </c>
    </row>
    <row r="68" spans="3:5" x14ac:dyDescent="0.3">
      <c r="C68" s="10" t="s">
        <v>118</v>
      </c>
      <c r="D68" s="11">
        <v>2234000</v>
      </c>
      <c r="E68" s="12">
        <f ca="1">+D68*main!$L$3</f>
        <v>44836380</v>
      </c>
    </row>
    <row r="69" spans="3:5" x14ac:dyDescent="0.3">
      <c r="C69" s="10" t="s">
        <v>119</v>
      </c>
      <c r="D69" s="11">
        <v>2225000</v>
      </c>
      <c r="E69" s="12">
        <f ca="1">+D69*main!$L$3</f>
        <v>44655750</v>
      </c>
    </row>
    <row r="70" spans="3:5" x14ac:dyDescent="0.3">
      <c r="C70" s="10" t="s">
        <v>120</v>
      </c>
      <c r="D70" s="11">
        <v>1161000</v>
      </c>
      <c r="E70" s="12">
        <f ca="1">+D70*main!$L$3</f>
        <v>23301270</v>
      </c>
    </row>
    <row r="71" spans="3:5" x14ac:dyDescent="0.3">
      <c r="C71" s="10" t="s">
        <v>121</v>
      </c>
      <c r="D71" s="11">
        <v>2108000</v>
      </c>
      <c r="E71" s="12">
        <f ca="1">+D71*main!$L$3</f>
        <v>42307560</v>
      </c>
    </row>
    <row r="72" spans="3:5" x14ac:dyDescent="0.3">
      <c r="C72" s="10" t="s">
        <v>122</v>
      </c>
      <c r="D72" s="11">
        <v>1868089</v>
      </c>
      <c r="E72" s="12">
        <f ca="1">+D72*main!$L$3</f>
        <v>37492546.230000004</v>
      </c>
    </row>
    <row r="73" spans="3:5" x14ac:dyDescent="0.3">
      <c r="C73" s="10" t="s">
        <v>123</v>
      </c>
      <c r="D73" s="11">
        <v>1829011</v>
      </c>
      <c r="E73" s="12">
        <f ca="1">+D73*main!$L$3</f>
        <v>36708250.770000003</v>
      </c>
    </row>
    <row r="74" spans="3:5" x14ac:dyDescent="0.3">
      <c r="C74" s="10" t="s">
        <v>124</v>
      </c>
      <c r="D74" s="11">
        <v>1821837</v>
      </c>
      <c r="E74" s="12">
        <f ca="1">+D74*main!$L$3</f>
        <v>36564268.590000004</v>
      </c>
    </row>
    <row r="75" spans="3:5" x14ac:dyDescent="0.3">
      <c r="C75" s="10" t="s">
        <v>125</v>
      </c>
      <c r="D75" s="11">
        <v>1785630</v>
      </c>
      <c r="E75" s="12">
        <f ca="1">+D75*main!$L$3</f>
        <v>35837594.100000001</v>
      </c>
    </row>
    <row r="76" spans="3:5" x14ac:dyDescent="0.3">
      <c r="C76" s="10" t="s">
        <v>126</v>
      </c>
      <c r="D76" s="11">
        <v>1780967</v>
      </c>
      <c r="E76" s="12">
        <f ca="1">+D76*main!$L$3</f>
        <v>35744007.689999998</v>
      </c>
    </row>
    <row r="77" spans="3:5" x14ac:dyDescent="0.3">
      <c r="C77" s="10" t="s">
        <v>127</v>
      </c>
      <c r="D77" s="11">
        <v>1720916</v>
      </c>
      <c r="E77" s="12">
        <f ca="1">+D77*main!$L$3</f>
        <v>34538784.119999997</v>
      </c>
    </row>
    <row r="78" spans="3:5" x14ac:dyDescent="0.3">
      <c r="C78" s="10" t="s">
        <v>128</v>
      </c>
      <c r="D78" s="11">
        <v>1694436</v>
      </c>
      <c r="E78" s="12">
        <f ca="1">+D78*main!$L$3</f>
        <v>34007330.520000003</v>
      </c>
    </row>
    <row r="79" spans="3:5" x14ac:dyDescent="0.3">
      <c r="C79" s="10" t="s">
        <v>129</v>
      </c>
      <c r="D79" s="11">
        <v>1663000</v>
      </c>
      <c r="E79" s="12">
        <f ca="1">+D79*main!$L$3</f>
        <v>33376410</v>
      </c>
    </row>
    <row r="80" spans="3:5" x14ac:dyDescent="0.3">
      <c r="C80" s="10" t="s">
        <v>130</v>
      </c>
      <c r="D80" s="11">
        <v>1608854</v>
      </c>
      <c r="E80" s="12">
        <f ca="1">+D80*main!$L$3</f>
        <v>32289699.780000001</v>
      </c>
    </row>
    <row r="81" spans="3:5" x14ac:dyDescent="0.3">
      <c r="C81" s="10" t="s">
        <v>131</v>
      </c>
      <c r="D81" s="11">
        <v>1584990</v>
      </c>
      <c r="E81" s="12">
        <f ca="1">+D81*main!$L$3</f>
        <v>31810749.300000001</v>
      </c>
    </row>
    <row r="82" spans="3:5" x14ac:dyDescent="0.3">
      <c r="C82" s="10" t="s">
        <v>132</v>
      </c>
      <c r="D82" s="11">
        <v>1491073</v>
      </c>
      <c r="E82" s="12">
        <f ca="1">+D82*main!$L$3</f>
        <v>29925835.109999999</v>
      </c>
    </row>
    <row r="83" spans="3:5" x14ac:dyDescent="0.3">
      <c r="C83" s="10" t="s">
        <v>133</v>
      </c>
      <c r="D83" s="11">
        <v>1477000</v>
      </c>
      <c r="E83" s="12">
        <f ca="1">+D83*main!$L$3</f>
        <v>29643390</v>
      </c>
    </row>
    <row r="84" spans="3:5" x14ac:dyDescent="0.3">
      <c r="C84" s="10" t="s">
        <v>134</v>
      </c>
      <c r="D84" s="11">
        <v>1472760</v>
      </c>
      <c r="E84" s="12">
        <f ca="1">+D84*main!$L$3</f>
        <v>29558293.199999999</v>
      </c>
    </row>
    <row r="85" spans="3:5" x14ac:dyDescent="0.3">
      <c r="C85" s="10" t="s">
        <v>135</v>
      </c>
      <c r="D85" s="11">
        <v>1460542</v>
      </c>
      <c r="E85" s="12">
        <f ca="1">+D85*main!$L$3</f>
        <v>29313077.940000001</v>
      </c>
    </row>
    <row r="86" spans="3:5" x14ac:dyDescent="0.3">
      <c r="C86" s="10" t="s">
        <v>136</v>
      </c>
      <c r="D86" s="11">
        <v>1405323</v>
      </c>
      <c r="E86" s="12">
        <f ca="1">+D86*main!$L$3</f>
        <v>28204832.609999999</v>
      </c>
    </row>
    <row r="87" spans="3:5" x14ac:dyDescent="0.3">
      <c r="C87" s="10" t="s">
        <v>137</v>
      </c>
      <c r="D87" s="11">
        <v>1397875</v>
      </c>
      <c r="E87" s="12">
        <f ca="1">+D87*main!$L$3</f>
        <v>28055351.25</v>
      </c>
    </row>
    <row r="88" spans="3:5" x14ac:dyDescent="0.3">
      <c r="C88" s="10" t="s">
        <v>138</v>
      </c>
      <c r="D88" s="11">
        <v>1350219</v>
      </c>
      <c r="E88" s="12">
        <f ca="1">+D88*main!$L$3</f>
        <v>27098895.330000002</v>
      </c>
    </row>
    <row r="89" spans="3:5" x14ac:dyDescent="0.3">
      <c r="C89" s="10" t="s">
        <v>139</v>
      </c>
      <c r="D89" s="11">
        <v>1307947</v>
      </c>
      <c r="E89" s="12">
        <f ca="1">+D89*main!$L$3</f>
        <v>26250496.289999999</v>
      </c>
    </row>
    <row r="90" spans="3:5" x14ac:dyDescent="0.3">
      <c r="C90" s="10" t="s">
        <v>140</v>
      </c>
      <c r="D90" s="11">
        <v>1392424</v>
      </c>
      <c r="E90" s="12">
        <f ca="1">+D90*main!$L$3</f>
        <v>27945949.68</v>
      </c>
    </row>
    <row r="91" spans="3:5" x14ac:dyDescent="0.3">
      <c r="C91" s="10" t="s">
        <v>141</v>
      </c>
      <c r="D91" s="11">
        <v>1302102</v>
      </c>
      <c r="E91" s="12">
        <f ca="1">+D91*main!$L$3</f>
        <v>26133187.140000001</v>
      </c>
    </row>
    <row r="92" spans="3:5" x14ac:dyDescent="0.3">
      <c r="C92" s="10" t="s">
        <v>142</v>
      </c>
      <c r="D92" s="11">
        <v>1191770</v>
      </c>
      <c r="E92" s="12">
        <f ca="1">+D92*main!$L$3</f>
        <v>23918823.899999999</v>
      </c>
    </row>
    <row r="93" spans="3:5" x14ac:dyDescent="0.3">
      <c r="C93" s="10" t="s">
        <v>143</v>
      </c>
      <c r="D93" s="11">
        <v>1120980</v>
      </c>
      <c r="E93" s="12">
        <f ca="1">+D93*main!$L$3</f>
        <v>22498068.600000001</v>
      </c>
    </row>
    <row r="94" spans="3:5" x14ac:dyDescent="0.3">
      <c r="C94" s="10" t="s">
        <v>144</v>
      </c>
      <c r="D94" s="11">
        <v>1100365</v>
      </c>
      <c r="E94" s="12">
        <f ca="1">+D94*main!$L$3</f>
        <v>22084325.550000001</v>
      </c>
    </row>
    <row r="95" spans="3:5" x14ac:dyDescent="0.3">
      <c r="C95" s="10" t="s">
        <v>145</v>
      </c>
      <c r="D95" s="11">
        <v>1094541</v>
      </c>
      <c r="E95" s="12">
        <f ca="1">+D95*main!$L$3</f>
        <v>21967437.870000001</v>
      </c>
    </row>
    <row r="96" spans="3:5" x14ac:dyDescent="0.3">
      <c r="C96" s="10" t="s">
        <v>146</v>
      </c>
      <c r="D96" s="11">
        <v>1066649</v>
      </c>
      <c r="E96" s="12">
        <f ca="1">+D96*main!$L$3</f>
        <v>21407645.43</v>
      </c>
    </row>
    <row r="97" spans="3:5" x14ac:dyDescent="0.3">
      <c r="C97" s="10" t="s">
        <v>147</v>
      </c>
      <c r="D97" s="11">
        <v>1054093</v>
      </c>
      <c r="E97" s="12">
        <f ca="1">+D97*main!$L$3</f>
        <v>21155646.510000002</v>
      </c>
    </row>
    <row r="98" spans="3:5" x14ac:dyDescent="0.3">
      <c r="C98" s="10" t="s">
        <v>148</v>
      </c>
      <c r="D98" s="11">
        <v>1048607</v>
      </c>
      <c r="E98" s="12">
        <f ca="1">+D98*main!$L$3</f>
        <v>21045542.490000002</v>
      </c>
    </row>
    <row r="99" spans="3:5" x14ac:dyDescent="0.3">
      <c r="C99" s="10" t="s">
        <v>149</v>
      </c>
      <c r="D99" s="11">
        <v>1040272</v>
      </c>
      <c r="E99" s="12">
        <f ca="1">+D99*main!$L$3</f>
        <v>20878259.039999999</v>
      </c>
    </row>
    <row r="100" spans="3:5" x14ac:dyDescent="0.3">
      <c r="C100" s="10" t="s">
        <v>150</v>
      </c>
      <c r="D100" s="11">
        <v>981382</v>
      </c>
      <c r="E100" s="12">
        <f ca="1">+D100*main!$L$3</f>
        <v>19696336.740000002</v>
      </c>
    </row>
    <row r="101" spans="3:5" x14ac:dyDescent="0.3">
      <c r="C101" s="10" t="s">
        <v>151</v>
      </c>
      <c r="D101" s="11">
        <v>978027</v>
      </c>
      <c r="E101" s="12">
        <f ca="1">+D101*main!$L$3</f>
        <v>19629001.890000001</v>
      </c>
    </row>
    <row r="102" spans="3:5" x14ac:dyDescent="0.3">
      <c r="C102" s="10" t="s">
        <v>152</v>
      </c>
      <c r="D102" s="11">
        <v>952939</v>
      </c>
      <c r="E102" s="12">
        <f ca="1">+D102*main!$L$3</f>
        <v>19125485.73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Holders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alexandreduartemorais@gmail.com</dc:creator>
  <cp:lastModifiedBy>Alexandre Duarte Morais</cp:lastModifiedBy>
  <dcterms:created xsi:type="dcterms:W3CDTF">2024-11-16T17:44:03Z</dcterms:created>
  <dcterms:modified xsi:type="dcterms:W3CDTF">2025-04-06T19:42:16Z</dcterms:modified>
</cp:coreProperties>
</file>