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disegutl-my.sharepoint.com/personal/l59357_aln_iseg_ulisboa_pt/Documents/Models/"/>
    </mc:Choice>
  </mc:AlternateContent>
  <xr:revisionPtr revIDLastSave="377" documentId="8_{8145084E-A95F-49F1-A36B-F1A3E26F0C48}" xr6:coauthVersionLast="47" xr6:coauthVersionMax="47" xr10:uidLastSave="{3BE681EF-5375-4809-9EA3-0437CF8AA344}"/>
  <bookViews>
    <workbookView xWindow="14295" yWindow="0" windowWidth="14610" windowHeight="15585" activeTab="1" xr2:uid="{7A3CBADA-5C1B-4DE1-A8ED-1D3D02EE0A8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2" l="1"/>
  <c r="O40" i="2"/>
  <c r="O39" i="2"/>
  <c r="O38" i="2"/>
  <c r="O34" i="2"/>
  <c r="O33" i="2"/>
  <c r="O30" i="2"/>
  <c r="O29" i="2"/>
  <c r="O28" i="2"/>
  <c r="O27" i="2"/>
  <c r="O26" i="2"/>
  <c r="N41" i="2"/>
  <c r="N40" i="2"/>
  <c r="N39" i="2"/>
  <c r="N38" i="2"/>
  <c r="N36" i="2"/>
  <c r="N35" i="2"/>
  <c r="N34" i="2"/>
  <c r="N33" i="2"/>
  <c r="M31" i="2"/>
  <c r="K31" i="2"/>
  <c r="J31" i="2"/>
  <c r="I31" i="2"/>
  <c r="N31" i="2"/>
  <c r="N30" i="2"/>
  <c r="N29" i="2"/>
  <c r="N28" i="2"/>
  <c r="N27" i="2"/>
  <c r="N26" i="2"/>
  <c r="P16" i="2"/>
  <c r="O16" i="2"/>
  <c r="N16" i="2"/>
  <c r="P12" i="2"/>
  <c r="P13" i="2" s="1"/>
  <c r="P17" i="2" s="1"/>
  <c r="P19" i="2" s="1"/>
  <c r="P21" i="2" s="1"/>
  <c r="P23" i="2" s="1"/>
  <c r="O12" i="2"/>
  <c r="N12" i="2"/>
  <c r="P9" i="2"/>
  <c r="O9" i="2"/>
  <c r="O31" i="2" s="1"/>
  <c r="N9" i="2"/>
  <c r="V7" i="2"/>
  <c r="W7" i="2" s="1"/>
  <c r="X7" i="2" s="1"/>
  <c r="X11" i="2" s="1"/>
  <c r="V6" i="2"/>
  <c r="W6" i="2" s="1"/>
  <c r="X6" i="2" s="1"/>
  <c r="Y6" i="2" s="1"/>
  <c r="Z6" i="2" s="1"/>
  <c r="AA6" i="2" s="1"/>
  <c r="AB6" i="2" s="1"/>
  <c r="V5" i="2"/>
  <c r="W5" i="2" s="1"/>
  <c r="V4" i="2"/>
  <c r="V27" i="2" s="1"/>
  <c r="V3" i="2"/>
  <c r="W3" i="2" s="1"/>
  <c r="X3" i="2" s="1"/>
  <c r="Y3" i="2" s="1"/>
  <c r="Z3" i="2" s="1"/>
  <c r="AA3" i="2" s="1"/>
  <c r="AB3" i="2" s="1"/>
  <c r="AE6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L9" i="2"/>
  <c r="K9" i="2"/>
  <c r="U30" i="2"/>
  <c r="T30" i="2"/>
  <c r="U29" i="2"/>
  <c r="T29" i="2"/>
  <c r="U28" i="2"/>
  <c r="T28" i="2"/>
  <c r="U27" i="2"/>
  <c r="T27" i="2"/>
  <c r="U26" i="2"/>
  <c r="T26" i="2"/>
  <c r="AB40" i="2"/>
  <c r="AA40" i="2"/>
  <c r="Z40" i="2"/>
  <c r="Y40" i="2"/>
  <c r="X40" i="2"/>
  <c r="W40" i="2"/>
  <c r="T2" i="2"/>
  <c r="U2" i="2" s="1"/>
  <c r="V2" i="2" s="1"/>
  <c r="W2" i="2" s="1"/>
  <c r="X2" i="2" s="1"/>
  <c r="Y2" i="2" s="1"/>
  <c r="Z2" i="2" s="1"/>
  <c r="AA2" i="2" s="1"/>
  <c r="AB2" i="2" s="1"/>
  <c r="V40" i="2"/>
  <c r="U40" i="2"/>
  <c r="U34" i="2"/>
  <c r="U33" i="2"/>
  <c r="U16" i="2"/>
  <c r="U12" i="2"/>
  <c r="U9" i="2"/>
  <c r="T40" i="2"/>
  <c r="T34" i="2"/>
  <c r="T33" i="2"/>
  <c r="T16" i="2"/>
  <c r="T12" i="2"/>
  <c r="T9" i="2"/>
  <c r="S40" i="2"/>
  <c r="S34" i="2"/>
  <c r="S33" i="2"/>
  <c r="S16" i="2"/>
  <c r="S12" i="2"/>
  <c r="S9" i="2"/>
  <c r="H40" i="2"/>
  <c r="G40" i="2"/>
  <c r="F40" i="2"/>
  <c r="E40" i="2"/>
  <c r="D40" i="2"/>
  <c r="C40" i="2"/>
  <c r="B40" i="2"/>
  <c r="M40" i="2"/>
  <c r="L40" i="2"/>
  <c r="K40" i="2"/>
  <c r="J40" i="2"/>
  <c r="I40" i="2"/>
  <c r="L16" i="2"/>
  <c r="K16" i="2"/>
  <c r="J16" i="2"/>
  <c r="I16" i="2"/>
  <c r="H16" i="2"/>
  <c r="G16" i="2"/>
  <c r="F16" i="2"/>
  <c r="E16" i="2"/>
  <c r="D16" i="2"/>
  <c r="C16" i="2"/>
  <c r="B16" i="2"/>
  <c r="M16" i="2"/>
  <c r="L34" i="2"/>
  <c r="K34" i="2"/>
  <c r="J34" i="2"/>
  <c r="I34" i="2"/>
  <c r="H34" i="2"/>
  <c r="G34" i="2"/>
  <c r="F34" i="2"/>
  <c r="E34" i="2"/>
  <c r="D34" i="2"/>
  <c r="C34" i="2"/>
  <c r="B34" i="2"/>
  <c r="M34" i="2"/>
  <c r="L33" i="2"/>
  <c r="K33" i="2"/>
  <c r="J33" i="2"/>
  <c r="I33" i="2"/>
  <c r="H33" i="2"/>
  <c r="G33" i="2"/>
  <c r="F33" i="2"/>
  <c r="E33" i="2"/>
  <c r="D33" i="2"/>
  <c r="C33" i="2"/>
  <c r="B33" i="2"/>
  <c r="M33" i="2"/>
  <c r="L12" i="2"/>
  <c r="K12" i="2"/>
  <c r="J12" i="2"/>
  <c r="I12" i="2"/>
  <c r="H12" i="2"/>
  <c r="G12" i="2"/>
  <c r="F12" i="2"/>
  <c r="E12" i="2"/>
  <c r="D12" i="2"/>
  <c r="C12" i="2"/>
  <c r="B12" i="2"/>
  <c r="M12" i="2"/>
  <c r="M30" i="2"/>
  <c r="M29" i="2"/>
  <c r="M28" i="2"/>
  <c r="M27" i="2"/>
  <c r="M26" i="2"/>
  <c r="M9" i="2"/>
  <c r="J9" i="2"/>
  <c r="I9" i="2"/>
  <c r="H9" i="2"/>
  <c r="G9" i="2"/>
  <c r="F9" i="2"/>
  <c r="E9" i="2"/>
  <c r="D9" i="2"/>
  <c r="C9" i="2"/>
  <c r="B9" i="2"/>
  <c r="B7" i="1"/>
  <c r="B6" i="1"/>
  <c r="B5" i="1"/>
  <c r="O13" i="2" l="1"/>
  <c r="O17" i="2" s="1"/>
  <c r="T31" i="2"/>
  <c r="V28" i="2"/>
  <c r="U31" i="2"/>
  <c r="N13" i="2"/>
  <c r="N17" i="2" s="1"/>
  <c r="N19" i="2" s="1"/>
  <c r="N21" i="2" s="1"/>
  <c r="N23" i="2" s="1"/>
  <c r="V11" i="2"/>
  <c r="V34" i="2" s="1"/>
  <c r="W4" i="2"/>
  <c r="T13" i="2"/>
  <c r="T17" i="2" s="1"/>
  <c r="T19" i="2" s="1"/>
  <c r="T21" i="2" s="1"/>
  <c r="V10" i="2"/>
  <c r="V33" i="2" s="1"/>
  <c r="W11" i="2"/>
  <c r="Y7" i="2"/>
  <c r="X30" i="2"/>
  <c r="X34" i="2"/>
  <c r="X29" i="2"/>
  <c r="W29" i="2"/>
  <c r="X5" i="2"/>
  <c r="W28" i="2"/>
  <c r="V30" i="2"/>
  <c r="V29" i="2"/>
  <c r="W30" i="2"/>
  <c r="W10" i="2"/>
  <c r="V26" i="2"/>
  <c r="V9" i="2"/>
  <c r="Y29" i="2"/>
  <c r="W34" i="2"/>
  <c r="U13" i="2"/>
  <c r="U17" i="2" s="1"/>
  <c r="U35" i="2" s="1"/>
  <c r="S13" i="2"/>
  <c r="S17" i="2" s="1"/>
  <c r="S35" i="2" s="1"/>
  <c r="B13" i="2"/>
  <c r="B17" i="2" s="1"/>
  <c r="K13" i="2"/>
  <c r="K17" i="2" s="1"/>
  <c r="E13" i="2"/>
  <c r="E17" i="2" s="1"/>
  <c r="M13" i="2"/>
  <c r="M17" i="2" s="1"/>
  <c r="G13" i="2"/>
  <c r="G17" i="2" s="1"/>
  <c r="C13" i="2"/>
  <c r="C17" i="2" s="1"/>
  <c r="H13" i="2"/>
  <c r="H17" i="2" s="1"/>
  <c r="F13" i="2"/>
  <c r="F17" i="2" s="1"/>
  <c r="J13" i="2"/>
  <c r="J17" i="2" s="1"/>
  <c r="D13" i="2"/>
  <c r="D17" i="2" s="1"/>
  <c r="L13" i="2"/>
  <c r="L17" i="2" s="1"/>
  <c r="I13" i="2"/>
  <c r="I17" i="2" s="1"/>
  <c r="O19" i="2" l="1"/>
  <c r="O21" i="2" s="1"/>
  <c r="O35" i="2"/>
  <c r="V12" i="2"/>
  <c r="W12" i="2"/>
  <c r="Z7" i="2"/>
  <c r="Y11" i="2"/>
  <c r="Y34" i="2" s="1"/>
  <c r="Y30" i="2"/>
  <c r="V31" i="2"/>
  <c r="W33" i="2"/>
  <c r="V13" i="2"/>
  <c r="Y5" i="2"/>
  <c r="X28" i="2"/>
  <c r="W27" i="2"/>
  <c r="X4" i="2"/>
  <c r="W9" i="2"/>
  <c r="W26" i="2"/>
  <c r="B19" i="2"/>
  <c r="B21" i="2" s="1"/>
  <c r="B35" i="2"/>
  <c r="Z29" i="2"/>
  <c r="H19" i="2"/>
  <c r="H21" i="2" s="1"/>
  <c r="H35" i="2"/>
  <c r="F19" i="2"/>
  <c r="F21" i="2" s="1"/>
  <c r="F35" i="2"/>
  <c r="I19" i="2"/>
  <c r="I21" i="2" s="1"/>
  <c r="I35" i="2"/>
  <c r="M19" i="2"/>
  <c r="M21" i="2" s="1"/>
  <c r="M35" i="2"/>
  <c r="C19" i="2"/>
  <c r="C21" i="2" s="1"/>
  <c r="C35" i="2"/>
  <c r="E19" i="2"/>
  <c r="E21" i="2" s="1"/>
  <c r="E35" i="2"/>
  <c r="J19" i="2"/>
  <c r="J21" i="2" s="1"/>
  <c r="J35" i="2"/>
  <c r="D19" i="2"/>
  <c r="D21" i="2" s="1"/>
  <c r="D35" i="2"/>
  <c r="L19" i="2"/>
  <c r="L21" i="2" s="1"/>
  <c r="L35" i="2"/>
  <c r="G19" i="2"/>
  <c r="G21" i="2" s="1"/>
  <c r="G35" i="2"/>
  <c r="K19" i="2"/>
  <c r="K21" i="2" s="1"/>
  <c r="K35" i="2"/>
  <c r="U19" i="2"/>
  <c r="U21" i="2" s="1"/>
  <c r="U23" i="2" s="1"/>
  <c r="T35" i="2"/>
  <c r="S19" i="2"/>
  <c r="S21" i="2" s="1"/>
  <c r="S23" i="2" s="1"/>
  <c r="T36" i="2"/>
  <c r="T23" i="2"/>
  <c r="O23" i="2" l="1"/>
  <c r="O36" i="2"/>
  <c r="X10" i="2"/>
  <c r="X12" i="2" s="1"/>
  <c r="AA7" i="2"/>
  <c r="Z11" i="2"/>
  <c r="Z30" i="2"/>
  <c r="Z34" i="2"/>
  <c r="V17" i="2"/>
  <c r="V35" i="2" s="1"/>
  <c r="W13" i="2"/>
  <c r="W31" i="2"/>
  <c r="X26" i="2"/>
  <c r="X9" i="2"/>
  <c r="X33" i="2"/>
  <c r="B36" i="2"/>
  <c r="B23" i="2"/>
  <c r="X27" i="2"/>
  <c r="Y4" i="2"/>
  <c r="Y10" i="2" s="1"/>
  <c r="Y12" i="2" s="1"/>
  <c r="Z5" i="2"/>
  <c r="Y28" i="2"/>
  <c r="AA29" i="2"/>
  <c r="H36" i="2"/>
  <c r="H23" i="2"/>
  <c r="D36" i="2"/>
  <c r="D23" i="2"/>
  <c r="M23" i="2"/>
  <c r="M36" i="2"/>
  <c r="C36" i="2"/>
  <c r="C23" i="2"/>
  <c r="I36" i="2"/>
  <c r="I23" i="2"/>
  <c r="J23" i="2"/>
  <c r="J36" i="2"/>
  <c r="E36" i="2"/>
  <c r="E23" i="2"/>
  <c r="F36" i="2"/>
  <c r="F23" i="2"/>
  <c r="L23" i="2"/>
  <c r="L36" i="2"/>
  <c r="G23" i="2"/>
  <c r="G36" i="2"/>
  <c r="K23" i="2"/>
  <c r="K36" i="2"/>
  <c r="U36" i="2"/>
  <c r="S36" i="2"/>
  <c r="AB7" i="2" l="1"/>
  <c r="AB11" i="2" s="1"/>
  <c r="AA11" i="2"/>
  <c r="AA30" i="2"/>
  <c r="AA34" i="2"/>
  <c r="W17" i="2"/>
  <c r="X13" i="2"/>
  <c r="X31" i="2"/>
  <c r="AA5" i="2"/>
  <c r="Z28" i="2"/>
  <c r="Z4" i="2"/>
  <c r="Y27" i="2"/>
  <c r="Y26" i="2"/>
  <c r="Y33" i="2"/>
  <c r="Y9" i="2"/>
  <c r="Z10" i="2" l="1"/>
  <c r="Z12" i="2" s="1"/>
  <c r="X17" i="2"/>
  <c r="AB30" i="2"/>
  <c r="V21" i="2"/>
  <c r="Y13" i="2"/>
  <c r="Y31" i="2"/>
  <c r="W35" i="2"/>
  <c r="AB29" i="2"/>
  <c r="Z26" i="2"/>
  <c r="Z9" i="2"/>
  <c r="Z33" i="2"/>
  <c r="AA4" i="2"/>
  <c r="Z27" i="2"/>
  <c r="AB5" i="2"/>
  <c r="AB28" i="2" s="1"/>
  <c r="AA28" i="2"/>
  <c r="AB34" i="2"/>
  <c r="AA10" i="2" l="1"/>
  <c r="AA33" i="2" s="1"/>
  <c r="V36" i="2"/>
  <c r="V23" i="2"/>
  <c r="W21" i="2"/>
  <c r="Z13" i="2"/>
  <c r="Z31" i="2"/>
  <c r="Y17" i="2"/>
  <c r="X35" i="2"/>
  <c r="AA26" i="2"/>
  <c r="AA9" i="2"/>
  <c r="AB4" i="2"/>
  <c r="AA27" i="2"/>
  <c r="AA12" i="2" l="1"/>
  <c r="AA13" i="2" s="1"/>
  <c r="AB27" i="2"/>
  <c r="AB10" i="2"/>
  <c r="AB12" i="2" s="1"/>
  <c r="W23" i="2"/>
  <c r="W36" i="2"/>
  <c r="X21" i="2"/>
  <c r="AA31" i="2"/>
  <c r="Y35" i="2"/>
  <c r="Z17" i="2"/>
  <c r="AB26" i="2"/>
  <c r="AB9" i="2"/>
  <c r="AB33" i="2" l="1"/>
  <c r="AA17" i="2"/>
  <c r="AA21" i="2" s="1"/>
  <c r="X36" i="2"/>
  <c r="X23" i="2"/>
  <c r="Z35" i="2"/>
  <c r="Y21" i="2"/>
  <c r="AB13" i="2"/>
  <c r="AB31" i="2"/>
  <c r="AA35" i="2" l="1"/>
  <c r="AA36" i="2"/>
  <c r="AA23" i="2"/>
  <c r="Y36" i="2"/>
  <c r="Y23" i="2"/>
  <c r="Z21" i="2"/>
  <c r="AB17" i="2"/>
  <c r="AB35" i="2" l="1"/>
  <c r="Z36" i="2"/>
  <c r="Z23" i="2"/>
  <c r="AB21" i="2" l="1"/>
  <c r="AC21" i="2" l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AE5" i="2" s="1"/>
  <c r="AE7" i="2" s="1"/>
  <c r="AE9" i="2" s="1"/>
  <c r="AB36" i="2"/>
  <c r="AB23" i="2"/>
</calcChain>
</file>

<file path=xl/sharedStrings.xml><?xml version="1.0" encoding="utf-8"?>
<sst xmlns="http://schemas.openxmlformats.org/spreadsheetml/2006/main" count="70" uniqueCount="68">
  <si>
    <t>ticket</t>
  </si>
  <si>
    <t>price</t>
  </si>
  <si>
    <t>shares</t>
  </si>
  <si>
    <t>mc</t>
  </si>
  <si>
    <t>cash</t>
  </si>
  <si>
    <t>debt</t>
  </si>
  <si>
    <t>ev</t>
  </si>
  <si>
    <t>aapl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</si>
  <si>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</si>
  <si>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</si>
  <si>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</si>
  <si>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</si>
  <si>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</si>
  <si>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</si>
  <si>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</si>
  <si>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</si>
  <si>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</si>
  <si>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</si>
  <si>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</si>
  <si>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iPhone</t>
  </si>
  <si>
    <t>Mac</t>
  </si>
  <si>
    <t>iPad</t>
  </si>
  <si>
    <t>Wearables</t>
  </si>
  <si>
    <t>Services</t>
  </si>
  <si>
    <t>Total Revenue</t>
  </si>
  <si>
    <t>iPhone Y/Y</t>
  </si>
  <si>
    <t>Mac Y/Y</t>
  </si>
  <si>
    <t>iPad Y/Y</t>
  </si>
  <si>
    <t>Wearables Y/Y</t>
  </si>
  <si>
    <t>Services Y/Y</t>
  </si>
  <si>
    <t>COGS Products</t>
  </si>
  <si>
    <t>COGS Services</t>
  </si>
  <si>
    <t>COGS</t>
  </si>
  <si>
    <t xml:space="preserve">Gross Profit </t>
  </si>
  <si>
    <t>Gross Margin Produts</t>
  </si>
  <si>
    <t>Gross Margin Services</t>
  </si>
  <si>
    <t>R&amp;D</t>
  </si>
  <si>
    <t>S&amp;G&amp;A</t>
  </si>
  <si>
    <t>Total Opex</t>
  </si>
  <si>
    <t>Operating Income</t>
  </si>
  <si>
    <t>Other income</t>
  </si>
  <si>
    <t>Pretax Income</t>
  </si>
  <si>
    <t>Taxes</t>
  </si>
  <si>
    <t>Net Income</t>
  </si>
  <si>
    <t>Shares</t>
  </si>
  <si>
    <t>EPS</t>
  </si>
  <si>
    <t>Operating Margin</t>
  </si>
  <si>
    <t>Net Margin</t>
  </si>
  <si>
    <t>CFFO</t>
  </si>
  <si>
    <t>CAPEX</t>
  </si>
  <si>
    <t>FCF</t>
  </si>
  <si>
    <t>SBC</t>
  </si>
  <si>
    <t>NA</t>
  </si>
  <si>
    <t>Revenue by Geography</t>
  </si>
  <si>
    <t>EUR</t>
  </si>
  <si>
    <t>CH</t>
  </si>
  <si>
    <t>JP</t>
  </si>
  <si>
    <t>Rest of Asia</t>
  </si>
  <si>
    <t>Q1 2024</t>
  </si>
  <si>
    <t>Total Revenue Y/Y</t>
  </si>
  <si>
    <t xml:space="preserve">discount </t>
  </si>
  <si>
    <t>maturity</t>
  </si>
  <si>
    <t>npv</t>
  </si>
  <si>
    <t>net cash</t>
  </si>
  <si>
    <t>active devices has now surpassed 2.2 billion,</t>
  </si>
  <si>
    <t>Q2 2024</t>
  </si>
  <si>
    <t>Q3 2024</t>
  </si>
  <si>
    <t>Q4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</si>
</sst>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3" fontId="3" fillId="0" borderId="0" xfId="0" applyNumberFormat="1" applyFont="1"/>
    <xf numFmtId="164" fontId="2" fillId="0" borderId="0" xfId="0" applyNumberFormat="1" applyFont="1"/>
    <xf numFmtId="3" fontId="2" fillId="0" borderId="0" xfId="1" applyNumberFormat="1" applyFont="1"/>
    <xf numFmtId="10" fontId="2" fillId="0" borderId="0" xfId="0" applyNumberFormat="1" applyFont="1"/>
    <xf numFmtId="9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152400</xdr:rowOff>
    </xdr:from>
    <xdr:to>
      <xdr:col>21</xdr:col>
      <xdr:colOff>3810</xdr:colOff>
      <xdr:row>64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2AE4BC0-B239-507E-AE85-91512C207779}"/>
            </a:ext>
          </a:extLst>
        </xdr:cNvPr>
        <xdr:cNvCxnSpPr/>
      </xdr:nvCxnSpPr>
      <xdr:spPr>
        <a:xfrm flipH="1">
          <a:off x="13735050" y="152400"/>
          <a:ext cx="3810" cy="102584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609600</xdr:colOff>
      <xdr:row>0</xdr:row>
      <xdr:rowOff>0</xdr:rowOff>
    </xdr:from>
    <xdr:to>
      <xdr:col>15</xdr:col>
      <xdr:colOff>0</xdr:colOff>
      <xdr:row>63</xdr:row>
      <xdr:rowOff>104775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998BB37-78F8-4B48-B91F-A35939053331}"/>
            </a:ext>
          </a:extLst>
        </xdr:cNvPr>
        <xdr:cNvCxnSpPr/>
      </xdr:nvCxnSpPr>
      <xdr:spPr>
        <a:xfrm flipH="1">
          <a:off x="10039350" y="0"/>
          <a:ext cx="9525" cy="10306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D00C-0E4D-4BEB-B830-4503A3B0503F}">
  <dimension ref="A1:B9"/>
  <sheetViews>
    <sheetView workbookViewId="0">
      <selection activeCell="B2" sqref="B2"/>
    </sheetView>
  </sheetViews>
  <sheetFormatPr defaultRowHeight="12.75" x14ac:dyDescent="0.2"/>
  <cols>
    <col min="1" max="16384" width="9.140625" style="1"/>
  </cols>
  <sheetData>
    <row r="1" spans="1:2" x14ac:dyDescent="0.2">
      <c r="A1" s="1" t="s">
        <v>0</v>
      </c>
      <c r="B1" s="1" t="s">
        <v>7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</row>
    <row r="5" spans="1:2" x14ac:dyDescent="0.2">
      <c r="A5" s="1" t="s">
        <v>4</v>
      </c>
      <c r="B5" s="1">
        <f>40760+32340+99475</f>
        <v>172575</v>
      </c>
    </row>
    <row r="6" spans="1:2" x14ac:dyDescent="0.2">
      <c r="A6" s="1" t="s">
        <v>5</v>
      </c>
      <c r="B6" s="1">
        <f>1998+10954+95088</f>
        <v>108040</v>
      </c>
    </row>
    <row r="7" spans="1:2" x14ac:dyDescent="0.2">
      <c r="A7" s="1" t="s">
        <v>6</v>
      </c>
      <c r="B7" s="1">
        <f>B5-B6</f>
        <v>64535</v>
      </c>
    </row>
    <row r="9" spans="1:2" x14ac:dyDescent="0.2">
      <c r="A9" s="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D203-0978-4603-82F7-25842FBBA955}">
  <dimension ref="A1:CS48"/>
  <sheetViews>
    <sheetView tabSelected="1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Q36" sqref="Q36"/>
    </sheetView>
  </sheetViews>
  <sheetFormatPr defaultRowHeight="12.75" x14ac:dyDescent="0.2"/>
  <cols>
    <col min="1" max="1" width="18.85546875" style="1" bestFit="1" customWidth="1"/>
    <col min="2" max="12" width="9.28515625" style="1" bestFit="1" customWidth="1"/>
    <col min="13" max="13" width="11.28515625" style="1" bestFit="1" customWidth="1"/>
    <col min="14" max="14" width="9.140625" style="1"/>
    <col min="15" max="15" width="9.28515625" style="1" bestFit="1" customWidth="1"/>
    <col min="16" max="18" width="9.28515625" style="1" customWidth="1"/>
    <col min="19" max="20" width="9.28515625" style="1" bestFit="1" customWidth="1"/>
    <col min="21" max="21" width="8.85546875" style="1" customWidth="1"/>
    <col min="22" max="22" width="13.42578125" style="1" bestFit="1" customWidth="1"/>
    <col min="23" max="28" width="8.85546875" style="1" customWidth="1"/>
    <col min="29" max="30" width="9.28515625" style="1" bestFit="1" customWidth="1"/>
    <col min="31" max="31" width="12.7109375" style="1" bestFit="1" customWidth="1"/>
    <col min="32" max="96" width="9.28515625" style="1" bestFit="1" customWidth="1"/>
    <col min="97" max="97" width="10.140625" style="1" bestFit="1" customWidth="1"/>
    <col min="98" max="16384" width="9.140625" style="1"/>
  </cols>
  <sheetData>
    <row r="1" spans="1:31" x14ac:dyDescent="0.2">
      <c r="M1" s="2">
        <v>45290</v>
      </c>
    </row>
    <row r="2" spans="1:31" x14ac:dyDescent="0.2"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58</v>
      </c>
      <c r="N2" s="3" t="s">
        <v>65</v>
      </c>
      <c r="O2" s="3" t="s">
        <v>66</v>
      </c>
      <c r="P2" s="3" t="s">
        <v>67</v>
      </c>
      <c r="S2" s="3">
        <v>2021</v>
      </c>
      <c r="T2" s="3">
        <f>S2+1</f>
        <v>2022</v>
      </c>
      <c r="U2" s="3">
        <f>T2+1</f>
        <v>2023</v>
      </c>
      <c r="V2" s="3">
        <f t="shared" ref="V2:AB2" si="0">U2+1</f>
        <v>2024</v>
      </c>
      <c r="W2" s="3">
        <f t="shared" si="0"/>
        <v>2025</v>
      </c>
      <c r="X2" s="3">
        <f t="shared" si="0"/>
        <v>2026</v>
      </c>
      <c r="Y2" s="3">
        <f t="shared" si="0"/>
        <v>2027</v>
      </c>
      <c r="Z2" s="3">
        <f t="shared" si="0"/>
        <v>2028</v>
      </c>
      <c r="AA2" s="3">
        <f t="shared" si="0"/>
        <v>2029</v>
      </c>
      <c r="AB2" s="3">
        <f t="shared" si="0"/>
        <v>2030</v>
      </c>
    </row>
    <row r="3" spans="1:31" x14ac:dyDescent="0.2">
      <c r="A3" s="1" t="s">
        <v>19</v>
      </c>
      <c r="B3" s="4"/>
      <c r="C3" s="4"/>
      <c r="D3" s="4"/>
      <c r="E3" s="4">
        <v>71628</v>
      </c>
      <c r="F3" s="4">
        <v>50570</v>
      </c>
      <c r="G3" s="4">
        <v>40665</v>
      </c>
      <c r="H3" s="4"/>
      <c r="I3" s="4">
        <v>65775</v>
      </c>
      <c r="J3" s="4">
        <v>51334</v>
      </c>
      <c r="K3" s="4">
        <v>39669</v>
      </c>
      <c r="M3" s="4">
        <v>69702</v>
      </c>
      <c r="N3" s="4">
        <v>45963</v>
      </c>
      <c r="O3" s="4">
        <v>39296</v>
      </c>
      <c r="P3" s="4"/>
      <c r="S3" s="4">
        <v>191973</v>
      </c>
      <c r="T3" s="4">
        <v>205489</v>
      </c>
      <c r="U3" s="4">
        <v>200583</v>
      </c>
      <c r="V3" s="4">
        <f>U3*1.08</f>
        <v>216629.64</v>
      </c>
      <c r="W3" s="4">
        <f t="shared" ref="W3:AB3" si="1">V3*1.08</f>
        <v>233960.01120000004</v>
      </c>
      <c r="X3" s="4">
        <f t="shared" si="1"/>
        <v>252676.81209600007</v>
      </c>
      <c r="Y3" s="4">
        <f t="shared" si="1"/>
        <v>272890.95706368011</v>
      </c>
      <c r="Z3" s="4">
        <f t="shared" si="1"/>
        <v>294722.23362877453</v>
      </c>
      <c r="AA3" s="4">
        <f t="shared" si="1"/>
        <v>318300.01231907652</v>
      </c>
      <c r="AB3" s="4">
        <f t="shared" si="1"/>
        <v>343764.01330460265</v>
      </c>
      <c r="AD3" s="1" t="s">
        <v>60</v>
      </c>
      <c r="AE3" s="5">
        <v>0.08</v>
      </c>
    </row>
    <row r="4" spans="1:31" x14ac:dyDescent="0.2">
      <c r="A4" s="1" t="s">
        <v>20</v>
      </c>
      <c r="B4" s="4"/>
      <c r="C4" s="4"/>
      <c r="D4" s="4"/>
      <c r="E4" s="4">
        <v>10852</v>
      </c>
      <c r="F4" s="4">
        <v>10435</v>
      </c>
      <c r="G4" s="4">
        <v>7382</v>
      </c>
      <c r="H4" s="4"/>
      <c r="I4" s="4">
        <v>7735</v>
      </c>
      <c r="J4" s="4">
        <v>7168</v>
      </c>
      <c r="K4" s="4">
        <v>6840</v>
      </c>
      <c r="M4" s="4">
        <v>7780</v>
      </c>
      <c r="N4" s="4">
        <v>7451</v>
      </c>
      <c r="O4" s="4">
        <v>7009</v>
      </c>
      <c r="P4" s="4"/>
      <c r="S4" s="4">
        <v>35190</v>
      </c>
      <c r="T4" s="4">
        <v>40177</v>
      </c>
      <c r="U4" s="4">
        <v>29357</v>
      </c>
      <c r="V4" s="4">
        <f>U4*1.05</f>
        <v>30824.850000000002</v>
      </c>
      <c r="W4" s="4">
        <f>V4*1.09</f>
        <v>33599.086500000005</v>
      </c>
      <c r="X4" s="4">
        <f t="shared" ref="X4" si="2">W4*1.06</f>
        <v>35615.031690000003</v>
      </c>
      <c r="Y4" s="4">
        <f t="shared" ref="Y4:AB4" si="3">X4*1.05</f>
        <v>37395.783274500005</v>
      </c>
      <c r="Z4" s="4">
        <f t="shared" si="3"/>
        <v>39265.572438225005</v>
      </c>
      <c r="AA4" s="4">
        <f t="shared" si="3"/>
        <v>41228.851060136258</v>
      </c>
      <c r="AB4" s="4">
        <f t="shared" si="3"/>
        <v>43290.293613143076</v>
      </c>
      <c r="AD4" s="1" t="s">
        <v>61</v>
      </c>
      <c r="AE4" s="6">
        <v>0.02</v>
      </c>
    </row>
    <row r="5" spans="1:31" x14ac:dyDescent="0.2">
      <c r="A5" s="1" t="s">
        <v>21</v>
      </c>
      <c r="B5" s="4"/>
      <c r="C5" s="4"/>
      <c r="D5" s="4"/>
      <c r="E5" s="4">
        <v>7248</v>
      </c>
      <c r="F5" s="4">
        <v>7646</v>
      </c>
      <c r="G5" s="4">
        <v>7224</v>
      </c>
      <c r="H5" s="4"/>
      <c r="I5" s="4">
        <v>9396</v>
      </c>
      <c r="J5" s="4">
        <v>6670</v>
      </c>
      <c r="K5" s="4">
        <v>5791</v>
      </c>
      <c r="M5" s="4">
        <v>7023</v>
      </c>
      <c r="N5" s="4">
        <v>5559</v>
      </c>
      <c r="O5" s="4">
        <v>7162</v>
      </c>
      <c r="P5" s="4"/>
      <c r="S5" s="4">
        <v>31862</v>
      </c>
      <c r="T5" s="4">
        <v>29292</v>
      </c>
      <c r="U5" s="4">
        <v>28300</v>
      </c>
      <c r="V5" s="4">
        <f>U5*1.025</f>
        <v>29007.499999999996</v>
      </c>
      <c r="W5" s="4">
        <f t="shared" ref="W5:AB5" si="4">V5*1.025</f>
        <v>29732.687499999993</v>
      </c>
      <c r="X5" s="4">
        <f t="shared" si="4"/>
        <v>30476.00468749999</v>
      </c>
      <c r="Y5" s="4">
        <f t="shared" si="4"/>
        <v>31237.904804687489</v>
      </c>
      <c r="Z5" s="4">
        <f t="shared" si="4"/>
        <v>32018.852424804674</v>
      </c>
      <c r="AA5" s="4">
        <f t="shared" si="4"/>
        <v>32819.32373542479</v>
      </c>
      <c r="AB5" s="4">
        <f t="shared" si="4"/>
        <v>33639.806828810404</v>
      </c>
      <c r="AD5" s="1" t="s">
        <v>62</v>
      </c>
      <c r="AE5" s="4">
        <f>NPV(AE3,V21:CS21)</f>
        <v>0</v>
      </c>
    </row>
    <row r="6" spans="1:31" x14ac:dyDescent="0.2">
      <c r="A6" s="1" t="s">
        <v>22</v>
      </c>
      <c r="B6" s="4"/>
      <c r="C6" s="4"/>
      <c r="D6" s="4"/>
      <c r="E6" s="4">
        <v>14701</v>
      </c>
      <c r="F6" s="4">
        <v>8806</v>
      </c>
      <c r="G6" s="4">
        <v>8084</v>
      </c>
      <c r="H6" s="4"/>
      <c r="I6" s="4">
        <v>13482</v>
      </c>
      <c r="J6" s="4">
        <v>8757</v>
      </c>
      <c r="K6" s="4">
        <v>8284</v>
      </c>
      <c r="M6" s="4">
        <v>11953</v>
      </c>
      <c r="N6" s="4">
        <v>7913</v>
      </c>
      <c r="O6" s="4">
        <v>8097</v>
      </c>
      <c r="P6" s="4"/>
      <c r="S6" s="4">
        <v>38367</v>
      </c>
      <c r="T6" s="4">
        <v>41241</v>
      </c>
      <c r="U6" s="4">
        <v>39845</v>
      </c>
      <c r="V6" s="4">
        <f>U6*1.05</f>
        <v>41837.25</v>
      </c>
      <c r="W6" s="4">
        <f t="shared" ref="W6:AB6" si="5">V6*1.05</f>
        <v>43929.112500000003</v>
      </c>
      <c r="X6" s="4">
        <f t="shared" si="5"/>
        <v>46125.568125000005</v>
      </c>
      <c r="Y6" s="4">
        <f t="shared" si="5"/>
        <v>48431.846531250005</v>
      </c>
      <c r="Z6" s="4">
        <f t="shared" si="5"/>
        <v>50853.438857812507</v>
      </c>
      <c r="AA6" s="4">
        <f t="shared" si="5"/>
        <v>53396.110800703136</v>
      </c>
      <c r="AB6" s="4">
        <f t="shared" si="5"/>
        <v>56065.916340738295</v>
      </c>
      <c r="AD6" s="1" t="s">
        <v>63</v>
      </c>
      <c r="AE6" s="4">
        <f>main!B5-main!B6</f>
        <v>64535</v>
      </c>
    </row>
    <row r="7" spans="1:31" x14ac:dyDescent="0.2">
      <c r="A7" s="1" t="s">
        <v>23</v>
      </c>
      <c r="B7" s="4"/>
      <c r="C7" s="4"/>
      <c r="D7" s="4"/>
      <c r="E7" s="4">
        <v>19516</v>
      </c>
      <c r="F7" s="4">
        <v>19821</v>
      </c>
      <c r="G7" s="4">
        <v>19604</v>
      </c>
      <c r="H7" s="4"/>
      <c r="I7" s="4">
        <v>20766</v>
      </c>
      <c r="J7" s="4">
        <v>20907</v>
      </c>
      <c r="K7" s="4">
        <v>21213</v>
      </c>
      <c r="M7" s="4">
        <v>23117</v>
      </c>
      <c r="N7" s="4">
        <v>23867</v>
      </c>
      <c r="O7" s="4">
        <v>24213</v>
      </c>
      <c r="P7" s="4"/>
      <c r="S7" s="4">
        <v>68425</v>
      </c>
      <c r="T7" s="4">
        <v>78129</v>
      </c>
      <c r="U7" s="4">
        <v>85200</v>
      </c>
      <c r="V7" s="4">
        <f>U7*1.11</f>
        <v>94572.000000000015</v>
      </c>
      <c r="W7" s="4">
        <f t="shared" ref="W7:AB7" si="6">V7*1.11</f>
        <v>104974.92000000003</v>
      </c>
      <c r="X7" s="4">
        <f t="shared" si="6"/>
        <v>116522.16120000005</v>
      </c>
      <c r="Y7" s="4">
        <f t="shared" si="6"/>
        <v>129339.59893200007</v>
      </c>
      <c r="Z7" s="4">
        <f t="shared" si="6"/>
        <v>143566.95481452008</v>
      </c>
      <c r="AA7" s="4">
        <f t="shared" si="6"/>
        <v>159359.3198441173</v>
      </c>
      <c r="AB7" s="4">
        <f t="shared" si="6"/>
        <v>176888.84502697023</v>
      </c>
      <c r="AD7" s="1" t="s">
        <v>6</v>
      </c>
      <c r="AE7" s="4">
        <f>AE5+AE6</f>
        <v>64535</v>
      </c>
    </row>
    <row r="8" spans="1:31" x14ac:dyDescent="0.2">
      <c r="B8" s="4"/>
      <c r="C8" s="4"/>
      <c r="D8" s="4"/>
      <c r="E8" s="4"/>
      <c r="F8" s="4"/>
      <c r="G8" s="4"/>
      <c r="H8" s="4"/>
      <c r="I8" s="4"/>
      <c r="J8" s="4"/>
      <c r="K8" s="4"/>
      <c r="M8" s="4"/>
      <c r="S8" s="4"/>
      <c r="T8" s="4"/>
      <c r="U8" s="4"/>
      <c r="V8" s="4"/>
      <c r="W8" s="4"/>
      <c r="X8" s="4"/>
      <c r="Y8" s="4"/>
      <c r="Z8" s="4"/>
      <c r="AA8" s="4"/>
      <c r="AB8" s="4"/>
      <c r="AE8" s="4"/>
    </row>
    <row r="9" spans="1:31" x14ac:dyDescent="0.2">
      <c r="A9" s="3" t="s">
        <v>24</v>
      </c>
      <c r="B9" s="7">
        <f>SUM(B3:B7)</f>
        <v>0</v>
      </c>
      <c r="C9" s="7">
        <f t="shared" ref="C9:P9" si="7">SUM(C3:C7)</f>
        <v>0</v>
      </c>
      <c r="D9" s="7">
        <f t="shared" si="7"/>
        <v>0</v>
      </c>
      <c r="E9" s="7">
        <f t="shared" si="7"/>
        <v>123945</v>
      </c>
      <c r="F9" s="7">
        <f t="shared" si="7"/>
        <v>97278</v>
      </c>
      <c r="G9" s="7">
        <f t="shared" si="7"/>
        <v>82959</v>
      </c>
      <c r="H9" s="7">
        <f t="shared" si="7"/>
        <v>0</v>
      </c>
      <c r="I9" s="7">
        <f t="shared" si="7"/>
        <v>117154</v>
      </c>
      <c r="J9" s="7">
        <f t="shared" si="7"/>
        <v>94836</v>
      </c>
      <c r="K9" s="7">
        <f t="shared" si="7"/>
        <v>81797</v>
      </c>
      <c r="L9" s="7">
        <f t="shared" si="7"/>
        <v>0</v>
      </c>
      <c r="M9" s="7">
        <f t="shared" si="7"/>
        <v>119575</v>
      </c>
      <c r="N9" s="7">
        <f t="shared" si="7"/>
        <v>90753</v>
      </c>
      <c r="O9" s="7">
        <f t="shared" si="7"/>
        <v>85777</v>
      </c>
      <c r="P9" s="7">
        <f t="shared" si="7"/>
        <v>0</v>
      </c>
      <c r="S9" s="7">
        <f t="shared" ref="S9:AB9" si="8">SUM(S3:S7)</f>
        <v>365817</v>
      </c>
      <c r="T9" s="7">
        <f t="shared" si="8"/>
        <v>394328</v>
      </c>
      <c r="U9" s="7">
        <f t="shared" si="8"/>
        <v>383285</v>
      </c>
      <c r="V9" s="7">
        <f t="shared" si="8"/>
        <v>412871.24</v>
      </c>
      <c r="W9" s="7">
        <f t="shared" si="8"/>
        <v>446195.81770000007</v>
      </c>
      <c r="X9" s="7">
        <f t="shared" si="8"/>
        <v>481415.57779850008</v>
      </c>
      <c r="Y9" s="7">
        <f t="shared" si="8"/>
        <v>519296.09060611762</v>
      </c>
      <c r="Z9" s="7">
        <f t="shared" si="8"/>
        <v>560427.0521641369</v>
      </c>
      <c r="AA9" s="7">
        <f t="shared" si="8"/>
        <v>605103.61775945802</v>
      </c>
      <c r="AB9" s="7">
        <f t="shared" si="8"/>
        <v>653648.87511426467</v>
      </c>
      <c r="AD9" s="1" t="s">
        <v>1</v>
      </c>
      <c r="AE9" s="8">
        <f>AE7/M22</f>
        <v>4.143233179250128</v>
      </c>
    </row>
    <row r="10" spans="1:31" x14ac:dyDescent="0.2">
      <c r="A10" s="1" t="s">
        <v>30</v>
      </c>
      <c r="E10" s="1">
        <v>64309</v>
      </c>
      <c r="F10" s="1">
        <v>49290</v>
      </c>
      <c r="G10" s="1">
        <v>41485</v>
      </c>
      <c r="I10" s="4">
        <v>60765</v>
      </c>
      <c r="J10" s="1">
        <v>46795</v>
      </c>
      <c r="K10" s="1">
        <v>39136</v>
      </c>
      <c r="M10" s="4">
        <v>58440</v>
      </c>
      <c r="N10" s="4">
        <v>42424</v>
      </c>
      <c r="O10" s="1">
        <v>39803</v>
      </c>
      <c r="S10" s="4">
        <v>192266</v>
      </c>
      <c r="T10" s="4">
        <v>201471</v>
      </c>
      <c r="U10" s="4">
        <v>189282</v>
      </c>
      <c r="V10" s="4">
        <f>(SUM(V3:V6)*(1-0.365))</f>
        <v>202120.01739999998</v>
      </c>
      <c r="W10" s="4">
        <f t="shared" ref="W10" si="9">(SUM(W3:W6)*(1-0.365))</f>
        <v>216675.27003950003</v>
      </c>
      <c r="X10" s="4">
        <f>(SUM(X3:X6)*(1-0.37))</f>
        <v>229882.85245705504</v>
      </c>
      <c r="Y10" s="4">
        <f t="shared" ref="Y10:AB10" si="10">(SUM(Y3:Y6)*(1-0.37))</f>
        <v>245672.58975469408</v>
      </c>
      <c r="Z10" s="4">
        <f t="shared" si="10"/>
        <v>262621.86133025854</v>
      </c>
      <c r="AA10" s="4">
        <f t="shared" si="10"/>
        <v>280818.90768666466</v>
      </c>
      <c r="AB10" s="4">
        <f t="shared" si="10"/>
        <v>300358.81895499554</v>
      </c>
    </row>
    <row r="11" spans="1:31" x14ac:dyDescent="0.2">
      <c r="A11" s="1" t="s">
        <v>31</v>
      </c>
      <c r="E11" s="1">
        <v>5393</v>
      </c>
      <c r="F11" s="1">
        <v>5429</v>
      </c>
      <c r="G11" s="1">
        <v>5589</v>
      </c>
      <c r="I11" s="4">
        <v>6057</v>
      </c>
      <c r="J11" s="1">
        <v>6065</v>
      </c>
      <c r="K11" s="1">
        <v>6248</v>
      </c>
      <c r="M11" s="4">
        <v>6280</v>
      </c>
      <c r="N11" s="4">
        <v>6058</v>
      </c>
      <c r="O11" s="1">
        <v>6296</v>
      </c>
      <c r="S11" s="4">
        <v>20715</v>
      </c>
      <c r="T11" s="4">
        <v>22075</v>
      </c>
      <c r="U11" s="4">
        <v>24855</v>
      </c>
      <c r="V11" s="4">
        <f>V7*(1-0.7)</f>
        <v>28371.600000000009</v>
      </c>
      <c r="W11" s="4">
        <f>W7*(1-0.71)</f>
        <v>30442.726800000011</v>
      </c>
      <c r="X11" s="4">
        <f>X7*(1-0.715)</f>
        <v>33208.815942000016</v>
      </c>
      <c r="Y11" s="4">
        <f t="shared" ref="Y11:Z11" si="11">Y7*(1-0.715)</f>
        <v>36861.785695620019</v>
      </c>
      <c r="Z11" s="4">
        <f t="shared" si="11"/>
        <v>40916.582122138228</v>
      </c>
      <c r="AA11" s="4">
        <f>AA7*(1-0.73)</f>
        <v>43027.016357911671</v>
      </c>
      <c r="AB11" s="4">
        <f t="shared" ref="AB11" si="12">AB7*(1-0.73)</f>
        <v>47759.988157281965</v>
      </c>
    </row>
    <row r="12" spans="1:31" x14ac:dyDescent="0.2">
      <c r="A12" s="1" t="s">
        <v>32</v>
      </c>
      <c r="B12" s="4">
        <f t="shared" ref="B12:L12" si="13">B10+B11</f>
        <v>0</v>
      </c>
      <c r="C12" s="4">
        <f t="shared" si="13"/>
        <v>0</v>
      </c>
      <c r="D12" s="4">
        <f t="shared" si="13"/>
        <v>0</v>
      </c>
      <c r="E12" s="4">
        <f t="shared" si="13"/>
        <v>69702</v>
      </c>
      <c r="F12" s="4">
        <f t="shared" si="13"/>
        <v>54719</v>
      </c>
      <c r="G12" s="4">
        <f t="shared" si="13"/>
        <v>47074</v>
      </c>
      <c r="H12" s="4">
        <f t="shared" si="13"/>
        <v>0</v>
      </c>
      <c r="I12" s="4">
        <f t="shared" si="13"/>
        <v>66822</v>
      </c>
      <c r="J12" s="4">
        <f t="shared" si="13"/>
        <v>52860</v>
      </c>
      <c r="K12" s="4">
        <f t="shared" si="13"/>
        <v>45384</v>
      </c>
      <c r="L12" s="4">
        <f t="shared" si="13"/>
        <v>0</v>
      </c>
      <c r="M12" s="4">
        <f>M10+M11</f>
        <v>64720</v>
      </c>
      <c r="N12" s="4">
        <f t="shared" ref="N12:P12" si="14">N10+N11</f>
        <v>48482</v>
      </c>
      <c r="O12" s="4">
        <f t="shared" si="14"/>
        <v>46099</v>
      </c>
      <c r="P12" s="4">
        <f t="shared" si="14"/>
        <v>0</v>
      </c>
      <c r="S12" s="4">
        <f t="shared" ref="S12:AB12" si="15">S10+S11</f>
        <v>212981</v>
      </c>
      <c r="T12" s="4">
        <f t="shared" si="15"/>
        <v>223546</v>
      </c>
      <c r="U12" s="4">
        <f t="shared" si="15"/>
        <v>214137</v>
      </c>
      <c r="V12" s="4">
        <f t="shared" si="15"/>
        <v>230491.61739999999</v>
      </c>
      <c r="W12" s="4">
        <f t="shared" si="15"/>
        <v>247117.99683950003</v>
      </c>
      <c r="X12" s="4">
        <f t="shared" si="15"/>
        <v>263091.66839905502</v>
      </c>
      <c r="Y12" s="4">
        <f t="shared" si="15"/>
        <v>282534.37545031408</v>
      </c>
      <c r="Z12" s="4">
        <f t="shared" si="15"/>
        <v>303538.44345239678</v>
      </c>
      <c r="AA12" s="4">
        <f t="shared" si="15"/>
        <v>323845.92404457636</v>
      </c>
      <c r="AB12" s="4">
        <f t="shared" si="15"/>
        <v>348118.80711227749</v>
      </c>
    </row>
    <row r="13" spans="1:31" x14ac:dyDescent="0.2">
      <c r="A13" s="3" t="s">
        <v>33</v>
      </c>
      <c r="B13" s="7">
        <f t="shared" ref="B13:L13" si="16">B9-B12</f>
        <v>0</v>
      </c>
      <c r="C13" s="7">
        <f t="shared" si="16"/>
        <v>0</v>
      </c>
      <c r="D13" s="7">
        <f t="shared" si="16"/>
        <v>0</v>
      </c>
      <c r="E13" s="7">
        <f t="shared" si="16"/>
        <v>54243</v>
      </c>
      <c r="F13" s="7">
        <f t="shared" si="16"/>
        <v>42559</v>
      </c>
      <c r="G13" s="7">
        <f t="shared" si="16"/>
        <v>35885</v>
      </c>
      <c r="H13" s="7">
        <f t="shared" si="16"/>
        <v>0</v>
      </c>
      <c r="I13" s="7">
        <f t="shared" si="16"/>
        <v>50332</v>
      </c>
      <c r="J13" s="7">
        <f t="shared" si="16"/>
        <v>41976</v>
      </c>
      <c r="K13" s="7">
        <f t="shared" si="16"/>
        <v>36413</v>
      </c>
      <c r="L13" s="7">
        <f t="shared" si="16"/>
        <v>0</v>
      </c>
      <c r="M13" s="7">
        <f>M9-M12</f>
        <v>54855</v>
      </c>
      <c r="N13" s="7">
        <f t="shared" ref="N13:P13" si="17">N9-N12</f>
        <v>42271</v>
      </c>
      <c r="O13" s="7">
        <f t="shared" si="17"/>
        <v>39678</v>
      </c>
      <c r="P13" s="7">
        <f t="shared" si="17"/>
        <v>0</v>
      </c>
      <c r="Q13" s="3"/>
      <c r="R13" s="3"/>
      <c r="S13" s="7">
        <f t="shared" ref="S13:AB13" si="18">S9-S12</f>
        <v>152836</v>
      </c>
      <c r="T13" s="7">
        <f t="shared" si="18"/>
        <v>170782</v>
      </c>
      <c r="U13" s="7">
        <f t="shared" si="18"/>
        <v>169148</v>
      </c>
      <c r="V13" s="7">
        <f t="shared" si="18"/>
        <v>182379.6226</v>
      </c>
      <c r="W13" s="7">
        <f t="shared" si="18"/>
        <v>199077.82086050004</v>
      </c>
      <c r="X13" s="7">
        <f t="shared" si="18"/>
        <v>218323.90939944505</v>
      </c>
      <c r="Y13" s="7">
        <f t="shared" si="18"/>
        <v>236761.71515580354</v>
      </c>
      <c r="Z13" s="7">
        <f t="shared" si="18"/>
        <v>256888.60871174012</v>
      </c>
      <c r="AA13" s="7">
        <f t="shared" si="18"/>
        <v>281257.69371488167</v>
      </c>
      <c r="AB13" s="7">
        <f t="shared" si="18"/>
        <v>305530.06800198718</v>
      </c>
    </row>
    <row r="14" spans="1:31" x14ac:dyDescent="0.2">
      <c r="A14" s="1" t="s">
        <v>36</v>
      </c>
      <c r="E14" s="1">
        <v>6306</v>
      </c>
      <c r="F14" s="1">
        <v>6387</v>
      </c>
      <c r="G14" s="1">
        <v>6797</v>
      </c>
      <c r="I14" s="1">
        <v>7709</v>
      </c>
      <c r="J14" s="1">
        <v>7457</v>
      </c>
      <c r="K14" s="1">
        <v>7442</v>
      </c>
      <c r="M14" s="4">
        <v>7696</v>
      </c>
      <c r="N14" s="4">
        <v>7903</v>
      </c>
      <c r="O14" s="1">
        <v>8006</v>
      </c>
      <c r="S14" s="4">
        <v>21914</v>
      </c>
      <c r="T14" s="4">
        <v>26251</v>
      </c>
      <c r="U14" s="4">
        <v>29915</v>
      </c>
      <c r="V14" s="4"/>
      <c r="W14" s="4"/>
      <c r="X14" s="4"/>
      <c r="Y14" s="4"/>
      <c r="Z14" s="4"/>
      <c r="AA14" s="4"/>
      <c r="AB14" s="4"/>
    </row>
    <row r="15" spans="1:31" x14ac:dyDescent="0.2">
      <c r="A15" s="1" t="s">
        <v>37</v>
      </c>
      <c r="E15" s="1">
        <v>6449</v>
      </c>
      <c r="F15" s="1">
        <v>6193</v>
      </c>
      <c r="G15" s="1">
        <v>6012</v>
      </c>
      <c r="I15" s="4">
        <v>6607</v>
      </c>
      <c r="J15" s="1">
        <v>6201</v>
      </c>
      <c r="K15" s="1">
        <v>5973</v>
      </c>
      <c r="M15" s="4">
        <v>6786</v>
      </c>
      <c r="N15" s="4">
        <v>6468</v>
      </c>
      <c r="O15" s="1">
        <v>6320</v>
      </c>
      <c r="S15" s="4">
        <v>21973</v>
      </c>
      <c r="T15" s="4">
        <v>25094</v>
      </c>
      <c r="U15" s="4">
        <v>24932</v>
      </c>
      <c r="V15" s="4"/>
      <c r="W15" s="4"/>
      <c r="X15" s="4"/>
      <c r="Y15" s="4"/>
      <c r="Z15" s="4"/>
      <c r="AA15" s="4"/>
      <c r="AB15" s="4"/>
    </row>
    <row r="16" spans="1:31" x14ac:dyDescent="0.2">
      <c r="A16" s="1" t="s">
        <v>38</v>
      </c>
      <c r="B16" s="4">
        <f t="shared" ref="B16:L16" si="19">B14+B15</f>
        <v>0</v>
      </c>
      <c r="C16" s="4">
        <f t="shared" si="19"/>
        <v>0</v>
      </c>
      <c r="D16" s="4">
        <f t="shared" si="19"/>
        <v>0</v>
      </c>
      <c r="E16" s="4">
        <f t="shared" si="19"/>
        <v>12755</v>
      </c>
      <c r="F16" s="4">
        <f t="shared" si="19"/>
        <v>12580</v>
      </c>
      <c r="G16" s="4">
        <f t="shared" si="19"/>
        <v>12809</v>
      </c>
      <c r="H16" s="4">
        <f t="shared" si="19"/>
        <v>0</v>
      </c>
      <c r="I16" s="4">
        <f t="shared" si="19"/>
        <v>14316</v>
      </c>
      <c r="J16" s="4">
        <f t="shared" si="19"/>
        <v>13658</v>
      </c>
      <c r="K16" s="4">
        <f t="shared" si="19"/>
        <v>13415</v>
      </c>
      <c r="L16" s="4">
        <f t="shared" si="19"/>
        <v>0</v>
      </c>
      <c r="M16" s="4">
        <f>M14+M15</f>
        <v>14482</v>
      </c>
      <c r="N16" s="4">
        <f t="shared" ref="N16:P16" si="20">N14+N15</f>
        <v>14371</v>
      </c>
      <c r="O16" s="4">
        <f t="shared" si="20"/>
        <v>14326</v>
      </c>
      <c r="P16" s="4">
        <f t="shared" si="20"/>
        <v>0</v>
      </c>
      <c r="S16" s="4">
        <f t="shared" ref="S16:AB16" si="21">S14+S15</f>
        <v>43887</v>
      </c>
      <c r="T16" s="4">
        <f t="shared" si="21"/>
        <v>51345</v>
      </c>
      <c r="U16" s="4">
        <f t="shared" si="21"/>
        <v>54847</v>
      </c>
      <c r="V16" s="4"/>
      <c r="W16" s="4"/>
      <c r="X16" s="4"/>
      <c r="Y16" s="4"/>
      <c r="Z16" s="4"/>
      <c r="AA16" s="4"/>
      <c r="AB16" s="4"/>
    </row>
    <row r="17" spans="1:97" x14ac:dyDescent="0.2">
      <c r="A17" s="3" t="s">
        <v>39</v>
      </c>
      <c r="B17" s="7">
        <f t="shared" ref="B17:H17" si="22">B13-B16</f>
        <v>0</v>
      </c>
      <c r="C17" s="7">
        <f t="shared" si="22"/>
        <v>0</v>
      </c>
      <c r="D17" s="7">
        <f t="shared" si="22"/>
        <v>0</v>
      </c>
      <c r="E17" s="7">
        <f t="shared" si="22"/>
        <v>41488</v>
      </c>
      <c r="F17" s="7">
        <f t="shared" si="22"/>
        <v>29979</v>
      </c>
      <c r="G17" s="7">
        <f t="shared" si="22"/>
        <v>23076</v>
      </c>
      <c r="H17" s="7">
        <f t="shared" si="22"/>
        <v>0</v>
      </c>
      <c r="I17" s="7">
        <f>I13-I16</f>
        <v>36016</v>
      </c>
      <c r="J17" s="7">
        <f t="shared" ref="J17:M17" si="23">J13-J16</f>
        <v>28318</v>
      </c>
      <c r="K17" s="7">
        <f t="shared" si="23"/>
        <v>22998</v>
      </c>
      <c r="L17" s="7">
        <f t="shared" si="23"/>
        <v>0</v>
      </c>
      <c r="M17" s="7">
        <f t="shared" si="23"/>
        <v>40373</v>
      </c>
      <c r="N17" s="7">
        <f t="shared" ref="N17:P17" si="24">N13-N16</f>
        <v>27900</v>
      </c>
      <c r="O17" s="7">
        <f t="shared" si="24"/>
        <v>25352</v>
      </c>
      <c r="P17" s="7">
        <f t="shared" si="24"/>
        <v>0</v>
      </c>
      <c r="S17" s="7">
        <f t="shared" ref="S17:AB17" si="25">S13-S16</f>
        <v>108949</v>
      </c>
      <c r="T17" s="7">
        <f t="shared" si="25"/>
        <v>119437</v>
      </c>
      <c r="U17" s="7">
        <f t="shared" si="25"/>
        <v>114301</v>
      </c>
      <c r="V17" s="7">
        <f t="shared" si="25"/>
        <v>182379.6226</v>
      </c>
      <c r="W17" s="7">
        <f t="shared" si="25"/>
        <v>199077.82086050004</v>
      </c>
      <c r="X17" s="7">
        <f t="shared" si="25"/>
        <v>218323.90939944505</v>
      </c>
      <c r="Y17" s="7">
        <f t="shared" si="25"/>
        <v>236761.71515580354</v>
      </c>
      <c r="Z17" s="7">
        <f t="shared" si="25"/>
        <v>256888.60871174012</v>
      </c>
      <c r="AA17" s="7">
        <f t="shared" si="25"/>
        <v>281257.69371488167</v>
      </c>
      <c r="AB17" s="7">
        <f t="shared" si="25"/>
        <v>305530.06800198718</v>
      </c>
    </row>
    <row r="18" spans="1:97" x14ac:dyDescent="0.2">
      <c r="A18" s="1" t="s">
        <v>40</v>
      </c>
      <c r="E18" s="1">
        <v>-247</v>
      </c>
      <c r="F18" s="1">
        <v>160</v>
      </c>
      <c r="G18" s="1">
        <v>-10</v>
      </c>
      <c r="I18" s="1">
        <v>-393</v>
      </c>
      <c r="J18" s="1">
        <v>64</v>
      </c>
      <c r="K18" s="1">
        <v>-265</v>
      </c>
      <c r="M18" s="4">
        <v>-50</v>
      </c>
      <c r="N18" s="4">
        <v>158</v>
      </c>
      <c r="O18" s="1">
        <v>142</v>
      </c>
      <c r="S18" s="4">
        <v>258</v>
      </c>
      <c r="T18" s="4">
        <v>-334</v>
      </c>
      <c r="U18" s="4">
        <v>-565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</row>
    <row r="19" spans="1:97" x14ac:dyDescent="0.2">
      <c r="A19" s="1" t="s">
        <v>41</v>
      </c>
      <c r="B19" s="4">
        <f t="shared" ref="B19:H19" si="26">B17+B18</f>
        <v>0</v>
      </c>
      <c r="C19" s="4">
        <f t="shared" si="26"/>
        <v>0</v>
      </c>
      <c r="D19" s="4">
        <f t="shared" si="26"/>
        <v>0</v>
      </c>
      <c r="E19" s="4">
        <f t="shared" si="26"/>
        <v>41241</v>
      </c>
      <c r="F19" s="4">
        <f t="shared" si="26"/>
        <v>30139</v>
      </c>
      <c r="G19" s="4">
        <f t="shared" si="26"/>
        <v>23066</v>
      </c>
      <c r="H19" s="4">
        <f t="shared" si="26"/>
        <v>0</v>
      </c>
      <c r="I19" s="4">
        <f>I17+I18</f>
        <v>35623</v>
      </c>
      <c r="J19" s="4">
        <f t="shared" ref="J19:P19" si="27">J17+J18</f>
        <v>28382</v>
      </c>
      <c r="K19" s="4">
        <f t="shared" si="27"/>
        <v>22733</v>
      </c>
      <c r="L19" s="4">
        <f t="shared" si="27"/>
        <v>0</v>
      </c>
      <c r="M19" s="4">
        <f t="shared" si="27"/>
        <v>40323</v>
      </c>
      <c r="N19" s="4">
        <f t="shared" si="27"/>
        <v>28058</v>
      </c>
      <c r="O19" s="4">
        <f t="shared" si="27"/>
        <v>25494</v>
      </c>
      <c r="P19" s="4">
        <f t="shared" si="27"/>
        <v>0</v>
      </c>
      <c r="S19" s="4">
        <f t="shared" ref="S19:AB19" si="28">S17+S18</f>
        <v>109207</v>
      </c>
      <c r="T19" s="4">
        <f t="shared" si="28"/>
        <v>119103</v>
      </c>
      <c r="U19" s="4">
        <f t="shared" si="28"/>
        <v>113736</v>
      </c>
      <c r="V19" s="4"/>
      <c r="W19" s="4"/>
      <c r="X19" s="4"/>
      <c r="Y19" s="4"/>
      <c r="Z19" s="4"/>
      <c r="AA19" s="4"/>
      <c r="AB19" s="4"/>
    </row>
    <row r="20" spans="1:97" x14ac:dyDescent="0.2">
      <c r="A20" s="1" t="s">
        <v>42</v>
      </c>
      <c r="E20" s="1">
        <v>6611</v>
      </c>
      <c r="F20" s="1">
        <v>5129</v>
      </c>
      <c r="G20" s="1">
        <v>3624</v>
      </c>
      <c r="I20" s="1">
        <v>5625</v>
      </c>
      <c r="J20" s="1">
        <v>4222</v>
      </c>
      <c r="K20" s="1">
        <v>2852</v>
      </c>
      <c r="M20" s="4">
        <v>6407</v>
      </c>
      <c r="N20" s="4">
        <v>4422</v>
      </c>
      <c r="O20" s="1">
        <v>4046</v>
      </c>
      <c r="S20" s="4">
        <v>14527</v>
      </c>
      <c r="T20" s="4">
        <v>19300</v>
      </c>
      <c r="U20" s="4">
        <v>16741</v>
      </c>
      <c r="V20" s="9"/>
      <c r="W20" s="9"/>
      <c r="X20" s="9"/>
      <c r="Y20" s="9"/>
      <c r="Z20" s="9"/>
      <c r="AA20" s="9"/>
      <c r="AB20" s="9"/>
    </row>
    <row r="21" spans="1:97" x14ac:dyDescent="0.2">
      <c r="A21" s="3" t="s">
        <v>43</v>
      </c>
      <c r="B21" s="7">
        <f t="shared" ref="B21:H21" si="29">B19-B20</f>
        <v>0</v>
      </c>
      <c r="C21" s="7">
        <f t="shared" si="29"/>
        <v>0</v>
      </c>
      <c r="D21" s="7">
        <f t="shared" si="29"/>
        <v>0</v>
      </c>
      <c r="E21" s="7">
        <f t="shared" si="29"/>
        <v>34630</v>
      </c>
      <c r="F21" s="7">
        <f t="shared" si="29"/>
        <v>25010</v>
      </c>
      <c r="G21" s="7">
        <f t="shared" si="29"/>
        <v>19442</v>
      </c>
      <c r="H21" s="7">
        <f t="shared" si="29"/>
        <v>0</v>
      </c>
      <c r="I21" s="7">
        <f>I19-I20</f>
        <v>29998</v>
      </c>
      <c r="J21" s="7">
        <f t="shared" ref="J21:P21" si="30">J19-J20</f>
        <v>24160</v>
      </c>
      <c r="K21" s="7">
        <f t="shared" si="30"/>
        <v>19881</v>
      </c>
      <c r="L21" s="7">
        <f t="shared" si="30"/>
        <v>0</v>
      </c>
      <c r="M21" s="7">
        <f t="shared" si="30"/>
        <v>33916</v>
      </c>
      <c r="N21" s="7">
        <f t="shared" si="30"/>
        <v>23636</v>
      </c>
      <c r="O21" s="7">
        <f t="shared" si="30"/>
        <v>21448</v>
      </c>
      <c r="P21" s="7">
        <f t="shared" si="30"/>
        <v>0</v>
      </c>
      <c r="S21" s="7">
        <f t="shared" ref="S21:AB21" si="31">S19-S20</f>
        <v>94680</v>
      </c>
      <c r="T21" s="7">
        <f t="shared" si="31"/>
        <v>99803</v>
      </c>
      <c r="U21" s="7">
        <f t="shared" si="31"/>
        <v>96995</v>
      </c>
      <c r="V21" s="7">
        <f t="shared" si="31"/>
        <v>0</v>
      </c>
      <c r="W21" s="7">
        <f t="shared" si="31"/>
        <v>0</v>
      </c>
      <c r="X21" s="7">
        <f t="shared" si="31"/>
        <v>0</v>
      </c>
      <c r="Y21" s="7">
        <f t="shared" si="31"/>
        <v>0</v>
      </c>
      <c r="Z21" s="7">
        <f t="shared" si="31"/>
        <v>0</v>
      </c>
      <c r="AA21" s="7">
        <f t="shared" si="31"/>
        <v>0</v>
      </c>
      <c r="AB21" s="7">
        <f t="shared" si="31"/>
        <v>0</v>
      </c>
      <c r="AC21" s="7">
        <f>AB21*(1+$AE$4)</f>
        <v>0</v>
      </c>
      <c r="AD21" s="7">
        <f t="shared" ref="AD21:CO21" si="32">AC21*(1+$AE$4)</f>
        <v>0</v>
      </c>
      <c r="AE21" s="7">
        <f t="shared" si="32"/>
        <v>0</v>
      </c>
      <c r="AF21" s="7">
        <f t="shared" si="32"/>
        <v>0</v>
      </c>
      <c r="AG21" s="7">
        <f t="shared" si="32"/>
        <v>0</v>
      </c>
      <c r="AH21" s="7">
        <f t="shared" si="32"/>
        <v>0</v>
      </c>
      <c r="AI21" s="7">
        <f t="shared" si="32"/>
        <v>0</v>
      </c>
      <c r="AJ21" s="7">
        <f t="shared" si="32"/>
        <v>0</v>
      </c>
      <c r="AK21" s="7">
        <f t="shared" si="32"/>
        <v>0</v>
      </c>
      <c r="AL21" s="7">
        <f t="shared" si="32"/>
        <v>0</v>
      </c>
      <c r="AM21" s="7">
        <f t="shared" si="32"/>
        <v>0</v>
      </c>
      <c r="AN21" s="7">
        <f t="shared" si="32"/>
        <v>0</v>
      </c>
      <c r="AO21" s="7">
        <f t="shared" si="32"/>
        <v>0</v>
      </c>
      <c r="AP21" s="7">
        <f t="shared" si="32"/>
        <v>0</v>
      </c>
      <c r="AQ21" s="7">
        <f t="shared" si="32"/>
        <v>0</v>
      </c>
      <c r="AR21" s="7">
        <f t="shared" si="32"/>
        <v>0</v>
      </c>
      <c r="AS21" s="7">
        <f t="shared" si="32"/>
        <v>0</v>
      </c>
      <c r="AT21" s="7">
        <f t="shared" si="32"/>
        <v>0</v>
      </c>
      <c r="AU21" s="7">
        <f t="shared" si="32"/>
        <v>0</v>
      </c>
      <c r="AV21" s="7">
        <f t="shared" si="32"/>
        <v>0</v>
      </c>
      <c r="AW21" s="7">
        <f t="shared" si="32"/>
        <v>0</v>
      </c>
      <c r="AX21" s="7">
        <f t="shared" si="32"/>
        <v>0</v>
      </c>
      <c r="AY21" s="7">
        <f t="shared" si="32"/>
        <v>0</v>
      </c>
      <c r="AZ21" s="7">
        <f t="shared" si="32"/>
        <v>0</v>
      </c>
      <c r="BA21" s="7">
        <f t="shared" si="32"/>
        <v>0</v>
      </c>
      <c r="BB21" s="7">
        <f t="shared" si="32"/>
        <v>0</v>
      </c>
      <c r="BC21" s="7">
        <f t="shared" si="32"/>
        <v>0</v>
      </c>
      <c r="BD21" s="7">
        <f t="shared" si="32"/>
        <v>0</v>
      </c>
      <c r="BE21" s="7">
        <f t="shared" si="32"/>
        <v>0</v>
      </c>
      <c r="BF21" s="7">
        <f t="shared" si="32"/>
        <v>0</v>
      </c>
      <c r="BG21" s="7">
        <f t="shared" si="32"/>
        <v>0</v>
      </c>
      <c r="BH21" s="7">
        <f t="shared" si="32"/>
        <v>0</v>
      </c>
      <c r="BI21" s="7">
        <f t="shared" si="32"/>
        <v>0</v>
      </c>
      <c r="BJ21" s="7">
        <f t="shared" si="32"/>
        <v>0</v>
      </c>
      <c r="BK21" s="7">
        <f t="shared" si="32"/>
        <v>0</v>
      </c>
      <c r="BL21" s="7">
        <f t="shared" si="32"/>
        <v>0</v>
      </c>
      <c r="BM21" s="7">
        <f t="shared" si="32"/>
        <v>0</v>
      </c>
      <c r="BN21" s="7">
        <f t="shared" si="32"/>
        <v>0</v>
      </c>
      <c r="BO21" s="7">
        <f t="shared" si="32"/>
        <v>0</v>
      </c>
      <c r="BP21" s="7">
        <f t="shared" si="32"/>
        <v>0</v>
      </c>
      <c r="BQ21" s="7">
        <f t="shared" si="32"/>
        <v>0</v>
      </c>
      <c r="BR21" s="7">
        <f t="shared" si="32"/>
        <v>0</v>
      </c>
      <c r="BS21" s="7">
        <f t="shared" si="32"/>
        <v>0</v>
      </c>
      <c r="BT21" s="7">
        <f t="shared" si="32"/>
        <v>0</v>
      </c>
      <c r="BU21" s="7">
        <f t="shared" si="32"/>
        <v>0</v>
      </c>
      <c r="BV21" s="7">
        <f t="shared" si="32"/>
        <v>0</v>
      </c>
      <c r="BW21" s="7">
        <f t="shared" si="32"/>
        <v>0</v>
      </c>
      <c r="BX21" s="7">
        <f t="shared" si="32"/>
        <v>0</v>
      </c>
      <c r="BY21" s="7">
        <f t="shared" si="32"/>
        <v>0</v>
      </c>
      <c r="BZ21" s="7">
        <f t="shared" si="32"/>
        <v>0</v>
      </c>
      <c r="CA21" s="7">
        <f t="shared" si="32"/>
        <v>0</v>
      </c>
      <c r="CB21" s="7">
        <f t="shared" si="32"/>
        <v>0</v>
      </c>
      <c r="CC21" s="7">
        <f t="shared" si="32"/>
        <v>0</v>
      </c>
      <c r="CD21" s="7">
        <f t="shared" si="32"/>
        <v>0</v>
      </c>
      <c r="CE21" s="7">
        <f t="shared" si="32"/>
        <v>0</v>
      </c>
      <c r="CF21" s="7">
        <f t="shared" si="32"/>
        <v>0</v>
      </c>
      <c r="CG21" s="7">
        <f t="shared" si="32"/>
        <v>0</v>
      </c>
      <c r="CH21" s="7">
        <f t="shared" si="32"/>
        <v>0</v>
      </c>
      <c r="CI21" s="7">
        <f t="shared" si="32"/>
        <v>0</v>
      </c>
      <c r="CJ21" s="7">
        <f t="shared" si="32"/>
        <v>0</v>
      </c>
      <c r="CK21" s="7">
        <f t="shared" si="32"/>
        <v>0</v>
      </c>
      <c r="CL21" s="7">
        <f t="shared" si="32"/>
        <v>0</v>
      </c>
      <c r="CM21" s="7">
        <f t="shared" si="32"/>
        <v>0</v>
      </c>
      <c r="CN21" s="7">
        <f t="shared" si="32"/>
        <v>0</v>
      </c>
      <c r="CO21" s="7">
        <f t="shared" si="32"/>
        <v>0</v>
      </c>
      <c r="CP21" s="7">
        <f t="shared" ref="CP21:CS21" si="33">CO21*(1+$AE$4)</f>
        <v>0</v>
      </c>
      <c r="CQ21" s="7">
        <f t="shared" si="33"/>
        <v>0</v>
      </c>
      <c r="CR21" s="7">
        <f t="shared" si="33"/>
        <v>0</v>
      </c>
      <c r="CS21" s="7">
        <f t="shared" si="33"/>
        <v>0</v>
      </c>
    </row>
    <row r="22" spans="1:97" x14ac:dyDescent="0.2">
      <c r="A22" s="1" t="s">
        <v>44</v>
      </c>
      <c r="E22" s="1">
        <v>16519</v>
      </c>
      <c r="F22" s="1">
        <v>16403</v>
      </c>
      <c r="G22" s="1">
        <v>16262</v>
      </c>
      <c r="I22" s="1">
        <v>15955</v>
      </c>
      <c r="J22" s="1">
        <v>15847</v>
      </c>
      <c r="K22" s="1">
        <v>15775</v>
      </c>
      <c r="M22" s="4">
        <v>15576</v>
      </c>
      <c r="N22" s="4">
        <v>15847</v>
      </c>
      <c r="O22" s="1">
        <v>15348</v>
      </c>
      <c r="S22" s="4">
        <v>16701</v>
      </c>
      <c r="T22" s="4">
        <v>16215</v>
      </c>
      <c r="U22" s="4">
        <v>15744</v>
      </c>
      <c r="V22" s="4"/>
      <c r="W22" s="4"/>
      <c r="X22" s="4"/>
      <c r="Y22" s="4"/>
      <c r="Z22" s="4"/>
      <c r="AA22" s="4"/>
      <c r="AB22" s="4"/>
    </row>
    <row r="23" spans="1:97" x14ac:dyDescent="0.2">
      <c r="A23" s="1" t="s">
        <v>45</v>
      </c>
      <c r="B23" s="8" t="e">
        <f t="shared" ref="B23:H23" si="34">B21/B22</f>
        <v>#DIV/0!</v>
      </c>
      <c r="C23" s="8" t="e">
        <f t="shared" si="34"/>
        <v>#DIV/0!</v>
      </c>
      <c r="D23" s="8" t="e">
        <f t="shared" si="34"/>
        <v>#DIV/0!</v>
      </c>
      <c r="E23" s="8">
        <f t="shared" si="34"/>
        <v>2.0963738725104424</v>
      </c>
      <c r="F23" s="8">
        <f t="shared" si="34"/>
        <v>1.5247210876059258</v>
      </c>
      <c r="G23" s="8">
        <f t="shared" si="34"/>
        <v>1.1955479030869511</v>
      </c>
      <c r="H23" s="8" t="e">
        <f t="shared" si="34"/>
        <v>#DIV/0!</v>
      </c>
      <c r="I23" s="8">
        <f>I21/I22</f>
        <v>1.8801629583202757</v>
      </c>
      <c r="J23" s="8">
        <f t="shared" ref="J23:P23" si="35">J21/J22</f>
        <v>1.5245787846280052</v>
      </c>
      <c r="K23" s="8">
        <f t="shared" si="35"/>
        <v>1.2602852614896989</v>
      </c>
      <c r="L23" s="8" t="e">
        <f t="shared" si="35"/>
        <v>#DIV/0!</v>
      </c>
      <c r="M23" s="8">
        <f t="shared" si="35"/>
        <v>2.1774524910118132</v>
      </c>
      <c r="N23" s="8">
        <f t="shared" si="35"/>
        <v>1.4915125891335899</v>
      </c>
      <c r="O23" s="8">
        <f t="shared" si="35"/>
        <v>1.3974459212926766</v>
      </c>
      <c r="P23" s="8" t="e">
        <f t="shared" si="35"/>
        <v>#DIV/0!</v>
      </c>
      <c r="S23" s="8">
        <f t="shared" ref="S23:AB23" si="36">S21/S22</f>
        <v>5.6691216094844616</v>
      </c>
      <c r="T23" s="8">
        <f t="shared" si="36"/>
        <v>6.154979956830096</v>
      </c>
      <c r="U23" s="8">
        <f t="shared" si="36"/>
        <v>6.1607596544715451</v>
      </c>
      <c r="V23" s="8" t="e">
        <f t="shared" si="36"/>
        <v>#DIV/0!</v>
      </c>
      <c r="W23" s="8" t="e">
        <f t="shared" si="36"/>
        <v>#DIV/0!</v>
      </c>
      <c r="X23" s="8" t="e">
        <f t="shared" si="36"/>
        <v>#DIV/0!</v>
      </c>
      <c r="Y23" s="8" t="e">
        <f t="shared" si="36"/>
        <v>#DIV/0!</v>
      </c>
      <c r="Z23" s="8" t="e">
        <f t="shared" si="36"/>
        <v>#DIV/0!</v>
      </c>
      <c r="AA23" s="8" t="e">
        <f t="shared" si="36"/>
        <v>#DIV/0!</v>
      </c>
      <c r="AB23" s="8" t="e">
        <f t="shared" si="36"/>
        <v>#DIV/0!</v>
      </c>
    </row>
    <row r="26" spans="1:97" x14ac:dyDescent="0.2">
      <c r="A26" s="1" t="s">
        <v>25</v>
      </c>
      <c r="B26" s="10"/>
      <c r="C26" s="10"/>
      <c r="D26" s="10"/>
      <c r="E26" s="10"/>
      <c r="F26" s="5"/>
      <c r="G26" s="5"/>
      <c r="H26" s="5"/>
      <c r="I26" s="5">
        <f>I3/E3-1</f>
        <v>-8.1713854917071505E-2</v>
      </c>
      <c r="J26" s="5">
        <f>J3/F3-1</f>
        <v>1.510777140597197E-2</v>
      </c>
      <c r="K26" s="5">
        <f>K3/G3-1</f>
        <v>-2.4492807082257428E-2</v>
      </c>
      <c r="L26" s="5"/>
      <c r="M26" s="5">
        <f>M3/I3-1</f>
        <v>5.9703534777651113E-2</v>
      </c>
      <c r="N26" s="5">
        <f t="shared" ref="N26:N30" si="37">N3/J3-1</f>
        <v>-0.10462851131803486</v>
      </c>
      <c r="O26" s="5">
        <f t="shared" ref="O26:O30" si="38">O3/K3-1</f>
        <v>-9.4028082381708566E-3</v>
      </c>
      <c r="S26" s="10"/>
      <c r="T26" s="10">
        <f>T3/S3-1</f>
        <v>7.0405734139696641E-2</v>
      </c>
      <c r="U26" s="10">
        <f>U3/T3-1</f>
        <v>-2.3874757286278081E-2</v>
      </c>
      <c r="V26" s="10">
        <f>V3/U3-1</f>
        <v>8.0000000000000071E-2</v>
      </c>
      <c r="W26" s="10">
        <f>W3/V3-1</f>
        <v>8.0000000000000071E-2</v>
      </c>
      <c r="X26" s="10">
        <f>X3/W3-1</f>
        <v>8.0000000000000071E-2</v>
      </c>
      <c r="Y26" s="10">
        <f>Y3/X3-1</f>
        <v>8.0000000000000071E-2</v>
      </c>
      <c r="Z26" s="10">
        <f>Z3/Y3-1</f>
        <v>8.0000000000000071E-2</v>
      </c>
      <c r="AA26" s="10">
        <f>AA3/Z3-1</f>
        <v>8.0000000000000071E-2</v>
      </c>
      <c r="AB26" s="10">
        <f>AB3/AA3-1</f>
        <v>8.0000000000000071E-2</v>
      </c>
    </row>
    <row r="27" spans="1:97" x14ac:dyDescent="0.2">
      <c r="A27" s="1" t="s">
        <v>26</v>
      </c>
      <c r="B27" s="10"/>
      <c r="C27" s="10"/>
      <c r="D27" s="10"/>
      <c r="E27" s="10"/>
      <c r="F27" s="5"/>
      <c r="G27" s="5"/>
      <c r="H27" s="5"/>
      <c r="I27" s="5">
        <f>I4/E4-1</f>
        <v>-0.28722816070770363</v>
      </c>
      <c r="J27" s="5">
        <f>J4/F4-1</f>
        <v>-0.31308097747963581</v>
      </c>
      <c r="K27" s="5">
        <f>K4/G4-1</f>
        <v>-7.3421836900568915E-2</v>
      </c>
      <c r="L27" s="5"/>
      <c r="M27" s="5">
        <f>M4/I4-1</f>
        <v>5.8177117000646206E-3</v>
      </c>
      <c r="N27" s="5">
        <f t="shared" si="37"/>
        <v>3.9481026785714191E-2</v>
      </c>
      <c r="O27" s="5">
        <f t="shared" si="38"/>
        <v>2.4707602339181234E-2</v>
      </c>
      <c r="S27" s="10"/>
      <c r="T27" s="10">
        <f t="shared" ref="T27" si="39">T4/S4-1</f>
        <v>0.14171639670360903</v>
      </c>
      <c r="U27" s="10">
        <f>U4/T4-1</f>
        <v>-0.26930831072504169</v>
      </c>
      <c r="V27" s="10">
        <f>V4/U4-1</f>
        <v>5.0000000000000044E-2</v>
      </c>
      <c r="W27" s="10">
        <f>W4/V4-1</f>
        <v>9.000000000000008E-2</v>
      </c>
      <c r="X27" s="10">
        <f>X4/W4-1</f>
        <v>6.0000000000000053E-2</v>
      </c>
      <c r="Y27" s="10">
        <f>Y4/X4-1</f>
        <v>5.0000000000000044E-2</v>
      </c>
      <c r="Z27" s="10">
        <f>Z4/Y4-1</f>
        <v>5.0000000000000044E-2</v>
      </c>
      <c r="AA27" s="10">
        <f>AA4/Z4-1</f>
        <v>5.0000000000000044E-2</v>
      </c>
      <c r="AB27" s="10">
        <f>AB4/AA4-1</f>
        <v>5.0000000000000044E-2</v>
      </c>
    </row>
    <row r="28" spans="1:97" x14ac:dyDescent="0.2">
      <c r="A28" s="1" t="s">
        <v>27</v>
      </c>
      <c r="B28" s="10"/>
      <c r="C28" s="10"/>
      <c r="D28" s="10"/>
      <c r="E28" s="10"/>
      <c r="F28" s="5"/>
      <c r="G28" s="5"/>
      <c r="H28" s="5"/>
      <c r="I28" s="5">
        <f>I5/E5-1</f>
        <v>0.29635761589403975</v>
      </c>
      <c r="J28" s="5">
        <f>J5/F5-1</f>
        <v>-0.12764844363065653</v>
      </c>
      <c r="K28" s="5">
        <f>K5/G5-1</f>
        <v>-0.19836655592469543</v>
      </c>
      <c r="L28" s="5"/>
      <c r="M28" s="5">
        <f>M5/I5-1</f>
        <v>-0.25255427841634737</v>
      </c>
      <c r="N28" s="5">
        <f t="shared" si="37"/>
        <v>-0.16656671664167921</v>
      </c>
      <c r="O28" s="5">
        <f t="shared" si="38"/>
        <v>0.23674667587635989</v>
      </c>
      <c r="S28" s="10"/>
      <c r="T28" s="10">
        <f t="shared" ref="T28" si="40">T5/S5-1</f>
        <v>-8.0660347749670458E-2</v>
      </c>
      <c r="U28" s="10">
        <f>U5/T5-1</f>
        <v>-3.3865901952751631E-2</v>
      </c>
      <c r="V28" s="10">
        <f>V5/U5-1</f>
        <v>2.4999999999999911E-2</v>
      </c>
      <c r="W28" s="10">
        <f>W5/V5-1</f>
        <v>2.4999999999999911E-2</v>
      </c>
      <c r="X28" s="10">
        <f>X5/W5-1</f>
        <v>2.4999999999999911E-2</v>
      </c>
      <c r="Y28" s="10">
        <f>Y5/X5-1</f>
        <v>2.4999999999999911E-2</v>
      </c>
      <c r="Z28" s="10">
        <f>Z5/Y5-1</f>
        <v>2.4999999999999911E-2</v>
      </c>
      <c r="AA28" s="10">
        <f>AA5/Z5-1</f>
        <v>2.4999999999999911E-2</v>
      </c>
      <c r="AB28" s="10">
        <f>AB5/AA5-1</f>
        <v>2.4999999999999911E-2</v>
      </c>
    </row>
    <row r="29" spans="1:97" x14ac:dyDescent="0.2">
      <c r="A29" s="1" t="s">
        <v>28</v>
      </c>
      <c r="B29" s="10"/>
      <c r="C29" s="10"/>
      <c r="D29" s="10"/>
      <c r="E29" s="10"/>
      <c r="F29" s="5"/>
      <c r="G29" s="5"/>
      <c r="H29" s="5"/>
      <c r="I29" s="5">
        <f>I6/E6-1</f>
        <v>-8.2919529283722149E-2</v>
      </c>
      <c r="J29" s="5">
        <f>J6/F6-1</f>
        <v>-5.56438791732905E-3</v>
      </c>
      <c r="K29" s="5">
        <f>K6/G6-1</f>
        <v>2.474022761009409E-2</v>
      </c>
      <c r="L29" s="5"/>
      <c r="M29" s="5">
        <f>M6/I6-1</f>
        <v>-0.11341047322355735</v>
      </c>
      <c r="N29" s="5">
        <f t="shared" si="37"/>
        <v>-9.6380038826082037E-2</v>
      </c>
      <c r="O29" s="5">
        <f t="shared" si="38"/>
        <v>-2.2573635924674096E-2</v>
      </c>
      <c r="S29" s="10"/>
      <c r="T29" s="10">
        <f t="shared" ref="T29" si="41">T6/S6-1</f>
        <v>7.4908124169208001E-2</v>
      </c>
      <c r="U29" s="10">
        <f>U6/T6-1</f>
        <v>-3.3849809655439933E-2</v>
      </c>
      <c r="V29" s="10">
        <f>V6/U6-1</f>
        <v>5.0000000000000044E-2</v>
      </c>
      <c r="W29" s="10">
        <f>W6/V6-1</f>
        <v>5.0000000000000044E-2</v>
      </c>
      <c r="X29" s="10">
        <f>X6/W6-1</f>
        <v>5.0000000000000044E-2</v>
      </c>
      <c r="Y29" s="10">
        <f>Y6/X6-1</f>
        <v>5.0000000000000044E-2</v>
      </c>
      <c r="Z29" s="10">
        <f>Z6/Y6-1</f>
        <v>5.0000000000000044E-2</v>
      </c>
      <c r="AA29" s="10">
        <f>AA6/Z6-1</f>
        <v>5.0000000000000044E-2</v>
      </c>
      <c r="AB29" s="10">
        <f>AB6/AA6-1</f>
        <v>5.0000000000000044E-2</v>
      </c>
    </row>
    <row r="30" spans="1:97" x14ac:dyDescent="0.2">
      <c r="A30" s="1" t="s">
        <v>29</v>
      </c>
      <c r="B30" s="10"/>
      <c r="C30" s="10"/>
      <c r="D30" s="10"/>
      <c r="E30" s="10"/>
      <c r="F30" s="5"/>
      <c r="G30" s="5"/>
      <c r="H30" s="5"/>
      <c r="I30" s="5">
        <f>I7/E7-1</f>
        <v>6.4050010248001721E-2</v>
      </c>
      <c r="J30" s="5">
        <f>J7/F7-1</f>
        <v>5.4790373845921003E-2</v>
      </c>
      <c r="K30" s="5">
        <f>K7/G7-1</f>
        <v>8.2075086716996593E-2</v>
      </c>
      <c r="L30" s="5"/>
      <c r="M30" s="5">
        <f>M7/I7-1</f>
        <v>0.11321390734855052</v>
      </c>
      <c r="N30" s="5">
        <f t="shared" si="37"/>
        <v>0.14157937532883724</v>
      </c>
      <c r="O30" s="5">
        <f t="shared" si="38"/>
        <v>0.1414227124876255</v>
      </c>
      <c r="S30" s="10"/>
      <c r="T30" s="10">
        <f t="shared" ref="T30" si="42">T7/S7-1</f>
        <v>0.14181951041286078</v>
      </c>
      <c r="U30" s="10">
        <f>U7/T7-1</f>
        <v>9.0504166186691215E-2</v>
      </c>
      <c r="V30" s="10">
        <f>V7/U7-1</f>
        <v>0.1100000000000001</v>
      </c>
      <c r="W30" s="10">
        <f>W7/V7-1</f>
        <v>0.1100000000000001</v>
      </c>
      <c r="X30" s="10">
        <f>X7/W7-1</f>
        <v>0.1100000000000001</v>
      </c>
      <c r="Y30" s="10">
        <f>Y7/X7-1</f>
        <v>0.1100000000000001</v>
      </c>
      <c r="Z30" s="10">
        <f>Z7/Y7-1</f>
        <v>0.1100000000000001</v>
      </c>
      <c r="AA30" s="10">
        <f>AA7/Z7-1</f>
        <v>0.1100000000000001</v>
      </c>
      <c r="AB30" s="10">
        <f>AB7/AA7-1</f>
        <v>0.1100000000000001</v>
      </c>
    </row>
    <row r="31" spans="1:97" x14ac:dyDescent="0.2">
      <c r="A31" s="3" t="s">
        <v>59</v>
      </c>
      <c r="B31" s="3"/>
      <c r="C31" s="3"/>
      <c r="D31" s="3"/>
      <c r="E31" s="3"/>
      <c r="F31" s="3"/>
      <c r="G31" s="3"/>
      <c r="H31" s="3"/>
      <c r="I31" s="11">
        <f t="shared" ref="I31:M31" si="43">+I9/E9-1</f>
        <v>-5.4790431239662762E-2</v>
      </c>
      <c r="J31" s="11">
        <f t="shared" si="43"/>
        <v>-2.5103312156911084E-2</v>
      </c>
      <c r="K31" s="11">
        <f t="shared" si="43"/>
        <v>-1.4006919080509661E-2</v>
      </c>
      <c r="L31" s="11"/>
      <c r="M31" s="11">
        <f t="shared" si="43"/>
        <v>2.0665107465387411E-2</v>
      </c>
      <c r="N31" s="11">
        <f>+N9/J9-1</f>
        <v>-4.3053270909781061E-2</v>
      </c>
      <c r="O31" s="11">
        <f t="shared" ref="O31" si="44">+O9/K9-1</f>
        <v>4.8657041211780383E-2</v>
      </c>
      <c r="T31" s="10">
        <f>T9/S9-1</f>
        <v>7.7937876041846099E-2</v>
      </c>
      <c r="U31" s="10">
        <f t="shared" ref="U31" si="45">U9/T9-1</f>
        <v>-2.800460530319937E-2</v>
      </c>
      <c r="V31" s="10">
        <f t="shared" ref="V31" si="46">V9/U9-1</f>
        <v>7.7191228459240424E-2</v>
      </c>
      <c r="W31" s="10">
        <f t="shared" ref="W31" si="47">W9/V9-1</f>
        <v>8.0714214194236744E-2</v>
      </c>
      <c r="X31" s="10">
        <f t="shared" ref="X31" si="48">X9/W9-1</f>
        <v>7.8933416005660506E-2</v>
      </c>
      <c r="Y31" s="10">
        <f t="shared" ref="Y31" si="49">Y9/X9-1</f>
        <v>7.8685681466403867E-2</v>
      </c>
      <c r="Z31" s="10">
        <f t="shared" ref="Z31" si="50">Z9/Y9-1</f>
        <v>7.920522087892401E-2</v>
      </c>
      <c r="AA31" s="10">
        <f t="shared" ref="AA31" si="51">AA9/Z9-1</f>
        <v>7.9718788418222664E-2</v>
      </c>
      <c r="AB31" s="10">
        <f t="shared" ref="AB31" si="52">AB9/AA9-1</f>
        <v>8.0226354511905074E-2</v>
      </c>
    </row>
    <row r="33" spans="1:28" x14ac:dyDescent="0.2">
      <c r="A33" s="1" t="s">
        <v>34</v>
      </c>
      <c r="B33" s="5" t="e">
        <f t="shared" ref="B33:J33" si="53">((SUM(B3:B6)-B10))/SUM(B3:B6)</f>
        <v>#DIV/0!</v>
      </c>
      <c r="C33" s="5" t="e">
        <f t="shared" si="53"/>
        <v>#DIV/0!</v>
      </c>
      <c r="D33" s="5" t="e">
        <f t="shared" si="53"/>
        <v>#DIV/0!</v>
      </c>
      <c r="E33" s="5">
        <f t="shared" si="53"/>
        <v>0.38418446983117716</v>
      </c>
      <c r="F33" s="5">
        <f t="shared" si="53"/>
        <v>0.36364692668190091</v>
      </c>
      <c r="G33" s="5">
        <f t="shared" si="53"/>
        <v>0.34519769552521506</v>
      </c>
      <c r="H33" s="5" t="e">
        <f t="shared" si="53"/>
        <v>#DIV/0!</v>
      </c>
      <c r="I33" s="5">
        <f t="shared" si="53"/>
        <v>0.36957920073038136</v>
      </c>
      <c r="J33" s="5">
        <f t="shared" si="53"/>
        <v>0.36702782399329087</v>
      </c>
      <c r="K33" s="5" t="e">
        <f>((SUM(#REF!)-K10))/SUM(#REF!)</f>
        <v>#REF!</v>
      </c>
      <c r="L33" s="5">
        <f>((SUM(K3:K6)-L10))/SUM(K3:K6)</f>
        <v>1</v>
      </c>
      <c r="M33" s="5">
        <f>((SUM(M3:M6)-M10))/SUM(M3:M6)</f>
        <v>0.39414045491301913</v>
      </c>
      <c r="N33" s="5">
        <f t="shared" ref="N33:O33" si="54">((SUM(N3:N6)-N10))/SUM(N3:N6)</f>
        <v>0.36572675896301171</v>
      </c>
      <c r="O33" s="5">
        <f t="shared" si="54"/>
        <v>0.35346956013254499</v>
      </c>
      <c r="S33" s="10">
        <f t="shared" ref="S33:V33" si="55">((SUM(S3:S6)-S10))/SUM(S3:S6)</f>
        <v>0.35349303276483562</v>
      </c>
      <c r="T33" s="10">
        <f t="shared" si="55"/>
        <v>0.36283479707399452</v>
      </c>
      <c r="U33" s="10">
        <f t="shared" si="55"/>
        <v>0.36500662562691849</v>
      </c>
      <c r="V33" s="10">
        <f t="shared" si="55"/>
        <v>0.36500000000000005</v>
      </c>
      <c r="W33" s="10">
        <f t="shared" ref="W33:AB33" si="56">((SUM(W3:W6)-W10))/SUM(W3:W6)</f>
        <v>0.36499999999999999</v>
      </c>
      <c r="X33" s="10">
        <f t="shared" si="56"/>
        <v>0.37</v>
      </c>
      <c r="Y33" s="10">
        <f t="shared" si="56"/>
        <v>0.36999999999999994</v>
      </c>
      <c r="Z33" s="10">
        <f t="shared" si="56"/>
        <v>0.37000000000000005</v>
      </c>
      <c r="AA33" s="10">
        <f t="shared" si="56"/>
        <v>0.36999999999999994</v>
      </c>
      <c r="AB33" s="10">
        <f t="shared" si="56"/>
        <v>0.36999999999999994</v>
      </c>
    </row>
    <row r="34" spans="1:28" x14ac:dyDescent="0.2">
      <c r="A34" s="1" t="s">
        <v>35</v>
      </c>
      <c r="B34" s="5" t="e">
        <f t="shared" ref="B34:J34" si="57">(B7-B11)/B7</f>
        <v>#DIV/0!</v>
      </c>
      <c r="C34" s="5" t="e">
        <f t="shared" si="57"/>
        <v>#DIV/0!</v>
      </c>
      <c r="D34" s="5" t="e">
        <f t="shared" si="57"/>
        <v>#DIV/0!</v>
      </c>
      <c r="E34" s="5">
        <f t="shared" si="57"/>
        <v>0.72366263578602175</v>
      </c>
      <c r="F34" s="5">
        <f t="shared" si="57"/>
        <v>0.72609858231168967</v>
      </c>
      <c r="G34" s="5">
        <f t="shared" si="57"/>
        <v>0.71490512140379514</v>
      </c>
      <c r="H34" s="5" t="e">
        <f t="shared" si="57"/>
        <v>#DIV/0!</v>
      </c>
      <c r="I34" s="5">
        <f t="shared" si="57"/>
        <v>0.70832129442357705</v>
      </c>
      <c r="J34" s="5">
        <f t="shared" si="57"/>
        <v>0.70990577318601422</v>
      </c>
      <c r="K34" s="5" t="e">
        <f>(#REF!-K11)/#REF!</f>
        <v>#REF!</v>
      </c>
      <c r="L34" s="5">
        <f>(K7-L11)/K7</f>
        <v>1</v>
      </c>
      <c r="M34" s="5">
        <f>(M7-M11)/M7</f>
        <v>0.728338452221309</v>
      </c>
      <c r="N34" s="5">
        <f t="shared" ref="N34:O34" si="58">(N7-N11)/N7</f>
        <v>0.74617672937528801</v>
      </c>
      <c r="O34" s="5">
        <f t="shared" si="58"/>
        <v>0.73997439392062114</v>
      </c>
      <c r="S34" s="10">
        <f t="shared" ref="S34:V34" si="59">(S7-S11)/S7</f>
        <v>0.69725977347460721</v>
      </c>
      <c r="T34" s="10">
        <f t="shared" si="59"/>
        <v>0.71745446633132381</v>
      </c>
      <c r="U34" s="10">
        <f t="shared" si="59"/>
        <v>0.70827464788732397</v>
      </c>
      <c r="V34" s="10">
        <f t="shared" si="59"/>
        <v>0.7</v>
      </c>
      <c r="W34" s="10">
        <f t="shared" ref="W34:AB34" si="60">(W7-W11)/W7</f>
        <v>0.70999999999999985</v>
      </c>
      <c r="X34" s="10">
        <f t="shared" si="60"/>
        <v>0.71499999999999997</v>
      </c>
      <c r="Y34" s="10">
        <f t="shared" si="60"/>
        <v>0.71500000000000008</v>
      </c>
      <c r="Z34" s="10">
        <f t="shared" si="60"/>
        <v>0.71499999999999997</v>
      </c>
      <c r="AA34" s="10">
        <f t="shared" si="60"/>
        <v>0.73000000000000009</v>
      </c>
      <c r="AB34" s="10">
        <f t="shared" si="60"/>
        <v>0.73</v>
      </c>
    </row>
    <row r="35" spans="1:28" x14ac:dyDescent="0.2">
      <c r="A35" s="1" t="s">
        <v>46</v>
      </c>
      <c r="B35" s="5" t="e">
        <f t="shared" ref="B35:H35" si="61">B17/B9</f>
        <v>#DIV/0!</v>
      </c>
      <c r="C35" s="5" t="e">
        <f t="shared" si="61"/>
        <v>#DIV/0!</v>
      </c>
      <c r="D35" s="5" t="e">
        <f t="shared" si="61"/>
        <v>#DIV/0!</v>
      </c>
      <c r="E35" s="5">
        <f t="shared" si="61"/>
        <v>0.33472911371979508</v>
      </c>
      <c r="F35" s="5">
        <f t="shared" si="61"/>
        <v>0.30817862209338187</v>
      </c>
      <c r="G35" s="5">
        <f t="shared" si="61"/>
        <v>0.27816150146457891</v>
      </c>
      <c r="H35" s="5" t="e">
        <f t="shared" si="61"/>
        <v>#DIV/0!</v>
      </c>
      <c r="I35" s="5">
        <f>I17/I9</f>
        <v>0.30742441572630896</v>
      </c>
      <c r="J35" s="5">
        <f t="shared" ref="J35:M35" si="62">J17/J9</f>
        <v>0.29859968788223878</v>
      </c>
      <c r="K35" s="5">
        <f t="shared" si="62"/>
        <v>0.28115945572576012</v>
      </c>
      <c r="L35" s="5" t="e">
        <f t="shared" si="62"/>
        <v>#DIV/0!</v>
      </c>
      <c r="M35" s="5">
        <f t="shared" si="62"/>
        <v>0.33763746602550698</v>
      </c>
      <c r="N35" s="5">
        <f t="shared" ref="N35:O35" si="63">N17/N9</f>
        <v>0.30742785362467356</v>
      </c>
      <c r="O35" s="5">
        <f t="shared" si="63"/>
        <v>0.29555708406682446</v>
      </c>
      <c r="S35" s="10">
        <f t="shared" ref="S35:V35" si="64">S17/S9</f>
        <v>0.29782377527561593</v>
      </c>
      <c r="T35" s="10">
        <f t="shared" si="64"/>
        <v>0.30288744395528594</v>
      </c>
      <c r="U35" s="10">
        <f t="shared" si="64"/>
        <v>0.29821412265024722</v>
      </c>
      <c r="V35" s="10">
        <f t="shared" si="64"/>
        <v>0.44173486775198972</v>
      </c>
      <c r="W35" s="10">
        <f t="shared" ref="W35:AB35" si="65">W17/W9</f>
        <v>0.44616693604768409</v>
      </c>
      <c r="X35" s="10">
        <f t="shared" si="65"/>
        <v>0.45350403989383592</v>
      </c>
      <c r="Y35" s="10">
        <f t="shared" si="65"/>
        <v>0.45592816783861678</v>
      </c>
      <c r="Z35" s="10">
        <f t="shared" si="65"/>
        <v>0.45838010088867559</v>
      </c>
      <c r="AA35" s="10">
        <f t="shared" si="65"/>
        <v>0.46480914253381272</v>
      </c>
      <c r="AB35" s="10">
        <f t="shared" si="65"/>
        <v>0.46742231132666956</v>
      </c>
    </row>
    <row r="36" spans="1:28" x14ac:dyDescent="0.2">
      <c r="A36" s="1" t="s">
        <v>47</v>
      </c>
      <c r="B36" s="5" t="e">
        <f t="shared" ref="B36:H36" si="66">B21/B9</f>
        <v>#DIV/0!</v>
      </c>
      <c r="C36" s="5" t="e">
        <f t="shared" si="66"/>
        <v>#DIV/0!</v>
      </c>
      <c r="D36" s="5" t="e">
        <f t="shared" si="66"/>
        <v>#DIV/0!</v>
      </c>
      <c r="E36" s="5">
        <f t="shared" si="66"/>
        <v>0.27939812013393039</v>
      </c>
      <c r="F36" s="5">
        <f t="shared" si="66"/>
        <v>0.25709821336787353</v>
      </c>
      <c r="G36" s="5">
        <f t="shared" si="66"/>
        <v>0.23435673043310551</v>
      </c>
      <c r="H36" s="5" t="e">
        <f t="shared" si="66"/>
        <v>#DIV/0!</v>
      </c>
      <c r="I36" s="5">
        <f>I21/I9</f>
        <v>0.2560561312460522</v>
      </c>
      <c r="J36" s="5">
        <f t="shared" ref="J36:M36" si="67">J21/J9</f>
        <v>0.25475557805052934</v>
      </c>
      <c r="K36" s="5">
        <f t="shared" si="67"/>
        <v>0.24305292370135825</v>
      </c>
      <c r="L36" s="5" t="e">
        <f t="shared" si="67"/>
        <v>#DIV/0!</v>
      </c>
      <c r="M36" s="5">
        <f t="shared" si="67"/>
        <v>0.28363788417311309</v>
      </c>
      <c r="N36" s="5">
        <f t="shared" ref="N36:O36" si="68">N21/N9</f>
        <v>0.26044318094167684</v>
      </c>
      <c r="O36" s="5">
        <f t="shared" si="68"/>
        <v>0.25004371801298714</v>
      </c>
      <c r="S36" s="10">
        <f t="shared" ref="S36:V36" si="69">S21/S9</f>
        <v>0.25881793355694238</v>
      </c>
      <c r="T36" s="10">
        <f t="shared" si="69"/>
        <v>0.25309640705199732</v>
      </c>
      <c r="U36" s="10">
        <f t="shared" si="69"/>
        <v>0.25306234264320282</v>
      </c>
      <c r="V36" s="10">
        <f t="shared" si="69"/>
        <v>0</v>
      </c>
      <c r="W36" s="10">
        <f t="shared" ref="W36:AB36" si="70">W21/W9</f>
        <v>0</v>
      </c>
      <c r="X36" s="10">
        <f t="shared" si="70"/>
        <v>0</v>
      </c>
      <c r="Y36" s="10">
        <f t="shared" si="70"/>
        <v>0</v>
      </c>
      <c r="Z36" s="10">
        <f t="shared" si="70"/>
        <v>0</v>
      </c>
      <c r="AA36" s="10">
        <f t="shared" si="70"/>
        <v>0</v>
      </c>
      <c r="AB36" s="10">
        <f t="shared" si="70"/>
        <v>0</v>
      </c>
    </row>
    <row r="38" spans="1:28" x14ac:dyDescent="0.2">
      <c r="A38" s="1" t="s">
        <v>48</v>
      </c>
      <c r="B38" s="4"/>
      <c r="C38" s="4"/>
      <c r="D38" s="4"/>
      <c r="E38" s="4"/>
      <c r="F38" s="4"/>
      <c r="G38" s="4"/>
      <c r="H38" s="4"/>
      <c r="I38" s="4">
        <v>34005</v>
      </c>
      <c r="J38" s="4"/>
      <c r="K38" s="4"/>
      <c r="L38" s="4"/>
      <c r="M38" s="4">
        <v>39895</v>
      </c>
      <c r="N38" s="4">
        <f>62585-M38</f>
        <v>22690</v>
      </c>
      <c r="O38" s="4">
        <f>91443-N38-M38</f>
        <v>28858</v>
      </c>
      <c r="S38" s="4">
        <v>104038</v>
      </c>
      <c r="T38" s="4">
        <v>122151</v>
      </c>
      <c r="U38" s="4">
        <v>110543</v>
      </c>
      <c r="V38" s="4"/>
      <c r="W38" s="4"/>
      <c r="X38" s="4"/>
      <c r="Y38" s="4"/>
      <c r="Z38" s="4"/>
      <c r="AA38" s="4"/>
      <c r="AB38" s="4"/>
    </row>
    <row r="39" spans="1:28" x14ac:dyDescent="0.2">
      <c r="A39" s="1" t="s">
        <v>49</v>
      </c>
      <c r="B39" s="4"/>
      <c r="C39" s="4"/>
      <c r="D39" s="4"/>
      <c r="E39" s="4"/>
      <c r="F39" s="4"/>
      <c r="G39" s="4"/>
      <c r="H39" s="4"/>
      <c r="I39" s="4">
        <v>3787</v>
      </c>
      <c r="J39" s="4"/>
      <c r="K39" s="4"/>
      <c r="L39" s="4"/>
      <c r="M39" s="4">
        <v>2392</v>
      </c>
      <c r="N39" s="4">
        <f>25042-M39</f>
        <v>22650</v>
      </c>
      <c r="O39" s="4">
        <f>38074-N39-M39</f>
        <v>13032</v>
      </c>
      <c r="S39" s="4">
        <v>11085</v>
      </c>
      <c r="T39" s="4">
        <v>10708</v>
      </c>
      <c r="U39" s="4">
        <v>10959</v>
      </c>
      <c r="V39" s="4"/>
      <c r="W39" s="4"/>
      <c r="X39" s="4"/>
      <c r="Y39" s="4"/>
      <c r="Z39" s="4"/>
      <c r="AA39" s="4"/>
      <c r="AB39" s="4"/>
    </row>
    <row r="40" spans="1:28" x14ac:dyDescent="0.2">
      <c r="A40" s="3" t="s">
        <v>50</v>
      </c>
      <c r="B40" s="7">
        <f t="shared" ref="B40:H40" si="71">B38-B39</f>
        <v>0</v>
      </c>
      <c r="C40" s="7">
        <f t="shared" si="71"/>
        <v>0</v>
      </c>
      <c r="D40" s="7">
        <f t="shared" si="71"/>
        <v>0</v>
      </c>
      <c r="E40" s="7">
        <f t="shared" si="71"/>
        <v>0</v>
      </c>
      <c r="F40" s="7">
        <f t="shared" si="71"/>
        <v>0</v>
      </c>
      <c r="G40" s="7">
        <f t="shared" si="71"/>
        <v>0</v>
      </c>
      <c r="H40" s="7">
        <f t="shared" si="71"/>
        <v>0</v>
      </c>
      <c r="I40" s="7">
        <f>I38-I39</f>
        <v>30218</v>
      </c>
      <c r="J40" s="7">
        <f t="shared" ref="J40:O40" si="72">J38-J39</f>
        <v>0</v>
      </c>
      <c r="K40" s="7">
        <f t="shared" si="72"/>
        <v>0</v>
      </c>
      <c r="L40" s="7">
        <f t="shared" si="72"/>
        <v>0</v>
      </c>
      <c r="M40" s="7">
        <f t="shared" si="72"/>
        <v>37503</v>
      </c>
      <c r="N40" s="7">
        <f t="shared" si="72"/>
        <v>40</v>
      </c>
      <c r="O40" s="7">
        <f t="shared" si="72"/>
        <v>15826</v>
      </c>
      <c r="S40" s="4">
        <f t="shared" ref="S40:AB40" si="73">S38-S39</f>
        <v>92953</v>
      </c>
      <c r="T40" s="4">
        <f t="shared" si="73"/>
        <v>111443</v>
      </c>
      <c r="U40" s="4">
        <f t="shared" si="73"/>
        <v>99584</v>
      </c>
      <c r="V40" s="4">
        <f t="shared" si="73"/>
        <v>0</v>
      </c>
      <c r="W40" s="4">
        <f t="shared" si="73"/>
        <v>0</v>
      </c>
      <c r="X40" s="4">
        <f t="shared" si="73"/>
        <v>0</v>
      </c>
      <c r="Y40" s="4">
        <f t="shared" si="73"/>
        <v>0</v>
      </c>
      <c r="Z40" s="4">
        <f t="shared" si="73"/>
        <v>0</v>
      </c>
      <c r="AA40" s="4">
        <f t="shared" si="73"/>
        <v>0</v>
      </c>
      <c r="AB40" s="4">
        <f t="shared" si="73"/>
        <v>0</v>
      </c>
    </row>
    <row r="41" spans="1:28" x14ac:dyDescent="0.2">
      <c r="A41" s="1" t="s">
        <v>51</v>
      </c>
      <c r="B41" s="4"/>
      <c r="C41" s="4"/>
      <c r="D41" s="4"/>
      <c r="E41" s="4"/>
      <c r="F41" s="4"/>
      <c r="G41" s="4"/>
      <c r="H41" s="4"/>
      <c r="I41" s="4">
        <v>2905</v>
      </c>
      <c r="J41" s="4"/>
      <c r="K41" s="4"/>
      <c r="L41" s="4"/>
      <c r="M41" s="4">
        <v>2997</v>
      </c>
      <c r="N41" s="4">
        <f>5961-M41</f>
        <v>2964</v>
      </c>
      <c r="O41" s="4">
        <f>8830-N41-M41</f>
        <v>2869</v>
      </c>
      <c r="S41" s="4">
        <v>7906</v>
      </c>
      <c r="T41" s="4">
        <v>9038</v>
      </c>
      <c r="U41" s="4">
        <v>10833</v>
      </c>
      <c r="V41" s="4"/>
      <c r="W41" s="4"/>
      <c r="X41" s="4"/>
      <c r="Y41" s="4"/>
      <c r="Z41" s="4"/>
      <c r="AA41" s="4"/>
      <c r="AB41" s="4"/>
    </row>
    <row r="42" spans="1:28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">
      <c r="A43" s="1" t="s">
        <v>53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">
      <c r="A44" s="1" t="s">
        <v>52</v>
      </c>
      <c r="B44" s="4"/>
      <c r="C44" s="4"/>
      <c r="D44" s="4"/>
      <c r="E44" s="4"/>
      <c r="F44" s="4"/>
      <c r="G44" s="4"/>
      <c r="H44" s="4"/>
      <c r="I44" s="4">
        <v>49278</v>
      </c>
      <c r="J44" s="4"/>
      <c r="K44" s="4"/>
      <c r="L44" s="4"/>
      <c r="M44" s="4">
        <v>50430</v>
      </c>
      <c r="S44" s="4">
        <v>153306</v>
      </c>
      <c r="T44" s="4">
        <v>169658</v>
      </c>
      <c r="U44" s="4">
        <v>162560</v>
      </c>
      <c r="V44" s="4"/>
      <c r="W44" s="4"/>
      <c r="X44" s="4"/>
      <c r="Y44" s="4"/>
      <c r="Z44" s="4"/>
      <c r="AA44" s="4"/>
      <c r="AB44" s="4"/>
    </row>
    <row r="45" spans="1:28" x14ac:dyDescent="0.2">
      <c r="A45" s="1" t="s">
        <v>54</v>
      </c>
      <c r="B45" s="4"/>
      <c r="C45" s="4"/>
      <c r="D45" s="4"/>
      <c r="E45" s="4"/>
      <c r="F45" s="4"/>
      <c r="G45" s="4"/>
      <c r="H45" s="4"/>
      <c r="I45" s="4">
        <v>27681</v>
      </c>
      <c r="J45" s="4"/>
      <c r="K45" s="4"/>
      <c r="L45" s="4"/>
      <c r="M45" s="4">
        <v>30397</v>
      </c>
      <c r="S45" s="4">
        <v>89307</v>
      </c>
      <c r="T45" s="4">
        <v>95118</v>
      </c>
      <c r="U45" s="4">
        <v>94294</v>
      </c>
      <c r="V45" s="4"/>
      <c r="W45" s="4"/>
      <c r="X45" s="4"/>
      <c r="Y45" s="4"/>
      <c r="Z45" s="4"/>
      <c r="AA45" s="4"/>
      <c r="AB45" s="4"/>
    </row>
    <row r="46" spans="1:28" x14ac:dyDescent="0.2">
      <c r="A46" s="1" t="s">
        <v>55</v>
      </c>
      <c r="B46" s="4"/>
      <c r="C46" s="4"/>
      <c r="D46" s="4"/>
      <c r="E46" s="4"/>
      <c r="F46" s="4"/>
      <c r="G46" s="4"/>
      <c r="H46" s="4"/>
      <c r="I46" s="4">
        <v>23905</v>
      </c>
      <c r="J46" s="4"/>
      <c r="K46" s="4"/>
      <c r="L46" s="4"/>
      <c r="M46" s="4">
        <v>20819</v>
      </c>
      <c r="S46" s="4">
        <v>68366</v>
      </c>
      <c r="T46" s="4">
        <v>74200</v>
      </c>
      <c r="U46" s="4">
        <v>72559</v>
      </c>
      <c r="V46" s="4"/>
      <c r="W46" s="4"/>
      <c r="X46" s="4"/>
      <c r="Y46" s="4"/>
      <c r="Z46" s="4"/>
      <c r="AA46" s="4"/>
      <c r="AB46" s="4"/>
    </row>
    <row r="47" spans="1:28" x14ac:dyDescent="0.2">
      <c r="A47" s="1" t="s">
        <v>56</v>
      </c>
      <c r="B47" s="4"/>
      <c r="C47" s="4"/>
      <c r="D47" s="4"/>
      <c r="E47" s="4"/>
      <c r="F47" s="4"/>
      <c r="G47" s="4"/>
      <c r="H47" s="4"/>
      <c r="I47" s="4">
        <v>6755</v>
      </c>
      <c r="J47" s="4"/>
      <c r="K47" s="4"/>
      <c r="L47" s="4"/>
      <c r="M47" s="4">
        <v>7767</v>
      </c>
      <c r="S47" s="4">
        <v>28482</v>
      </c>
      <c r="T47" s="4">
        <v>25977</v>
      </c>
      <c r="U47" s="4">
        <v>24257</v>
      </c>
      <c r="V47" s="4"/>
      <c r="W47" s="4"/>
      <c r="X47" s="4"/>
      <c r="Y47" s="4"/>
      <c r="Z47" s="4"/>
      <c r="AA47" s="4"/>
      <c r="AB47" s="4"/>
    </row>
    <row r="48" spans="1:28" x14ac:dyDescent="0.2">
      <c r="A48" s="1" t="s">
        <v>57</v>
      </c>
      <c r="B48" s="4"/>
      <c r="C48" s="4"/>
      <c r="D48" s="4"/>
      <c r="E48" s="4"/>
      <c r="F48" s="4"/>
      <c r="G48" s="4"/>
      <c r="H48" s="4"/>
      <c r="I48" s="4">
        <v>9535</v>
      </c>
      <c r="J48" s="4"/>
      <c r="K48" s="4"/>
      <c r="L48" s="4"/>
      <c r="M48" s="4">
        <v>10162</v>
      </c>
      <c r="S48" s="4">
        <v>26356</v>
      </c>
      <c r="T48" s="4">
        <v>29375</v>
      </c>
      <c r="U48" s="4">
        <v>29615</v>
      </c>
      <c r="V48" s="4"/>
      <c r="W48" s="4"/>
      <c r="X48" s="4"/>
      <c r="Y48" s="4"/>
      <c r="Z48" s="4"/>
      <c r="AA48" s="4"/>
      <c r="AB4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Cadal Duarte Morais</dc:creator>
  <cp:lastModifiedBy>Alexandre Duarte Morais</cp:lastModifiedBy>
  <dcterms:created xsi:type="dcterms:W3CDTF">2024-03-22T00:58:24Z</dcterms:created>
  <dcterms:modified xsi:type="dcterms:W3CDTF">2024-11-01T15:04:33Z</dcterms:modified>
</cp:coreProperties>
</file>