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763" documentId="8_{89F6B01C-2E54-4926-8740-BFEE1770FEA9}" xr6:coauthVersionLast="47" xr6:coauthVersionMax="47" xr10:uidLastSave="{982FD916-D760-47EC-B445-D558C2BDD972}"/>
  <bookViews>
    <workbookView xWindow="-120" yWindow="-120" windowWidth="29040" windowHeight="15720" xr2:uid="{737D1E8E-08BE-4D83-A14E-C2C59CCA9445}"/>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40" i="2" l="1"/>
  <c r="O29" i="2"/>
  <c r="N37" i="2"/>
  <c r="N17" i="2"/>
  <c r="N18" i="2" s="1"/>
  <c r="Q37" i="2"/>
  <c r="Q17" i="2"/>
  <c r="Q18" i="2" s="1"/>
  <c r="Q13" i="2"/>
  <c r="Q9" i="2"/>
  <c r="R29" i="2" s="1"/>
  <c r="S37" i="2"/>
  <c r="R37" i="2"/>
  <c r="R17" i="2"/>
  <c r="R18" i="2" s="1"/>
  <c r="S17" i="2"/>
  <c r="S18" i="2" s="1"/>
  <c r="S13" i="2"/>
  <c r="R13" i="2"/>
  <c r="S9" i="2"/>
  <c r="S29" i="2" s="1"/>
  <c r="R9" i="2"/>
  <c r="W42" i="2"/>
  <c r="X22" i="2" s="1"/>
  <c r="L7" i="1"/>
  <c r="L6" i="1"/>
  <c r="T37" i="2"/>
  <c r="W36" i="2"/>
  <c r="V36" i="2"/>
  <c r="U36" i="2"/>
  <c r="W35" i="2"/>
  <c r="V35" i="2"/>
  <c r="U35" i="2"/>
  <c r="U34" i="2"/>
  <c r="U37" i="2" s="1"/>
  <c r="V34" i="2"/>
  <c r="W34" i="2"/>
  <c r="N13" i="2"/>
  <c r="N9" i="2"/>
  <c r="R14" i="2" l="1"/>
  <c r="R30" i="2" s="1"/>
  <c r="S14" i="2"/>
  <c r="S30" i="2" s="1"/>
  <c r="S19" i="2"/>
  <c r="S23" i="2" s="1"/>
  <c r="S25" i="2" s="1"/>
  <c r="S27" i="2" s="1"/>
  <c r="Q14" i="2"/>
  <c r="S32" i="2"/>
  <c r="S31" i="2"/>
  <c r="R19" i="2"/>
  <c r="N14" i="2"/>
  <c r="W37" i="2"/>
  <c r="V37" i="2"/>
  <c r="L3" i="1" a="1"/>
  <c r="L3" i="1" s="1"/>
  <c r="L5" i="1" s="1"/>
  <c r="L8" i="1" s="1"/>
  <c r="W17" i="2"/>
  <c r="W18" i="2" s="1"/>
  <c r="L37" i="2"/>
  <c r="K37" i="2"/>
  <c r="N38" i="2" s="1"/>
  <c r="J37" i="2"/>
  <c r="I37" i="2"/>
  <c r="H37" i="2"/>
  <c r="G37" i="2"/>
  <c r="F37" i="2"/>
  <c r="E37" i="2"/>
  <c r="D37" i="2"/>
  <c r="C37" i="2"/>
  <c r="B37" i="2"/>
  <c r="M37" i="2"/>
  <c r="M17" i="2"/>
  <c r="M18" i="2" s="1"/>
  <c r="M13" i="2"/>
  <c r="M9" i="2"/>
  <c r="L18" i="2"/>
  <c r="L13" i="2"/>
  <c r="L9" i="2"/>
  <c r="K18" i="2"/>
  <c r="K13" i="2"/>
  <c r="K9" i="2"/>
  <c r="AH9" i="2"/>
  <c r="Y26" i="2"/>
  <c r="Z26" i="2" s="1"/>
  <c r="AA26" i="2" s="1"/>
  <c r="AB26" i="2" s="1"/>
  <c r="AC26" i="2" s="1"/>
  <c r="AD26" i="2" s="1"/>
  <c r="AE26" i="2" s="1"/>
  <c r="V12" i="2"/>
  <c r="X12" i="2" s="1"/>
  <c r="Y12" i="2" s="1"/>
  <c r="Z12" i="2" s="1"/>
  <c r="AA12" i="2" s="1"/>
  <c r="AB12" i="2" s="1"/>
  <c r="AC12" i="2" s="1"/>
  <c r="AD12" i="2" s="1"/>
  <c r="AE12" i="2" s="1"/>
  <c r="X7" i="2"/>
  <c r="Y7" i="2" s="1"/>
  <c r="Z7" i="2" s="1"/>
  <c r="AA7" i="2" s="1"/>
  <c r="AB7" i="2" s="1"/>
  <c r="AC7" i="2" s="1"/>
  <c r="AD7" i="2" s="1"/>
  <c r="AE7" i="2" s="1"/>
  <c r="AC37" i="2"/>
  <c r="AB37" i="2"/>
  <c r="AA37" i="2"/>
  <c r="Z37" i="2"/>
  <c r="Y37" i="2"/>
  <c r="X37" i="2"/>
  <c r="V24" i="2"/>
  <c r="V21" i="2"/>
  <c r="V20" i="2"/>
  <c r="X20" i="2" s="1"/>
  <c r="Y20" i="2" s="1"/>
  <c r="Z20" i="2" s="1"/>
  <c r="AA20" i="2" s="1"/>
  <c r="AB20" i="2" s="1"/>
  <c r="AC20" i="2" s="1"/>
  <c r="AD20" i="2" s="1"/>
  <c r="AE20" i="2" s="1"/>
  <c r="V17" i="2"/>
  <c r="V16" i="2"/>
  <c r="X16" i="2" s="1"/>
  <c r="Y16" i="2" s="1"/>
  <c r="Z16" i="2" s="1"/>
  <c r="AA16" i="2" s="1"/>
  <c r="AB16" i="2" s="1"/>
  <c r="AC16" i="2" s="1"/>
  <c r="AD16" i="2" s="1"/>
  <c r="AE16" i="2" s="1"/>
  <c r="V15" i="2"/>
  <c r="V11" i="2"/>
  <c r="X11" i="2" s="1"/>
  <c r="Y11" i="2" s="1"/>
  <c r="Z11" i="2" s="1"/>
  <c r="AA11" i="2" s="1"/>
  <c r="AB11" i="2" s="1"/>
  <c r="AC11" i="2" s="1"/>
  <c r="AD11" i="2" s="1"/>
  <c r="AE11" i="2" s="1"/>
  <c r="V10" i="2"/>
  <c r="X10" i="2" s="1"/>
  <c r="V7" i="2"/>
  <c r="V6" i="2"/>
  <c r="X6" i="2" s="1"/>
  <c r="Y6" i="2" s="1"/>
  <c r="Z6" i="2" s="1"/>
  <c r="AA6" i="2" s="1"/>
  <c r="AB6" i="2" s="1"/>
  <c r="AC6" i="2" s="1"/>
  <c r="AD6" i="2" s="1"/>
  <c r="AE6" i="2" s="1"/>
  <c r="V5" i="2"/>
  <c r="X5" i="2" s="1"/>
  <c r="Y5" i="2" s="1"/>
  <c r="U24" i="2"/>
  <c r="U22" i="2"/>
  <c r="U21" i="2"/>
  <c r="U20" i="2"/>
  <c r="U17" i="2"/>
  <c r="U16" i="2"/>
  <c r="U15" i="2"/>
  <c r="U12" i="2"/>
  <c r="U11" i="2"/>
  <c r="U10" i="2"/>
  <c r="U7" i="2"/>
  <c r="U6" i="2"/>
  <c r="U5" i="2"/>
  <c r="U2" i="2"/>
  <c r="V2" i="2" s="1"/>
  <c r="W2" i="2" s="1"/>
  <c r="X2" i="2" s="1"/>
  <c r="Y2" i="2" s="1"/>
  <c r="Z2" i="2" s="1"/>
  <c r="AA2" i="2" s="1"/>
  <c r="AB2" i="2" s="1"/>
  <c r="AC2" i="2" s="1"/>
  <c r="AD2" i="2" s="1"/>
  <c r="AE2" i="2" s="1"/>
  <c r="T18" i="2"/>
  <c r="T13" i="2"/>
  <c r="T9" i="2"/>
  <c r="T29" i="2" s="1"/>
  <c r="D18" i="2"/>
  <c r="F22" i="2"/>
  <c r="J22" i="2"/>
  <c r="J18" i="2"/>
  <c r="I18" i="2"/>
  <c r="H18" i="2"/>
  <c r="G18" i="2"/>
  <c r="F18" i="2"/>
  <c r="E18" i="2"/>
  <c r="C18" i="2"/>
  <c r="B18" i="2"/>
  <c r="J13" i="2"/>
  <c r="I13" i="2"/>
  <c r="H13" i="2"/>
  <c r="G13" i="2"/>
  <c r="F13" i="2"/>
  <c r="E13" i="2"/>
  <c r="D13" i="2"/>
  <c r="C13" i="2"/>
  <c r="B13" i="2"/>
  <c r="J9" i="2"/>
  <c r="N29" i="2" s="1"/>
  <c r="I9" i="2"/>
  <c r="H9" i="2"/>
  <c r="G9" i="2"/>
  <c r="F9" i="2"/>
  <c r="E9" i="2"/>
  <c r="D9" i="2"/>
  <c r="C9" i="2"/>
  <c r="B9" i="2"/>
  <c r="N19" i="2" l="1"/>
  <c r="N30" i="2"/>
  <c r="Q19" i="2"/>
  <c r="Q30" i="2"/>
  <c r="R23" i="2"/>
  <c r="R25" i="2" s="1"/>
  <c r="R31" i="2"/>
  <c r="E38" i="2"/>
  <c r="L29" i="2"/>
  <c r="F38" i="2"/>
  <c r="G38" i="2"/>
  <c r="V18" i="2"/>
  <c r="L38" i="2"/>
  <c r="H38" i="2"/>
  <c r="M29" i="2"/>
  <c r="X17" i="2"/>
  <c r="Y17" i="2" s="1"/>
  <c r="Z17" i="2" s="1"/>
  <c r="AA17" i="2" s="1"/>
  <c r="AB17" i="2" s="1"/>
  <c r="AC17" i="2" s="1"/>
  <c r="AD17" i="2" s="1"/>
  <c r="AE17" i="2" s="1"/>
  <c r="J38" i="2"/>
  <c r="M38" i="2"/>
  <c r="L10" i="1" s="1"/>
  <c r="I38" i="2"/>
  <c r="K38" i="2"/>
  <c r="M14" i="2"/>
  <c r="M30" i="2" s="1"/>
  <c r="J29" i="2"/>
  <c r="L14" i="2"/>
  <c r="L30" i="2" s="1"/>
  <c r="X15" i="2"/>
  <c r="Y15" i="2" s="1"/>
  <c r="Z15" i="2" s="1"/>
  <c r="AA15" i="2" s="1"/>
  <c r="AB15" i="2" s="1"/>
  <c r="AC15" i="2" s="1"/>
  <c r="AD15" i="2" s="1"/>
  <c r="AE15" i="2" s="1"/>
  <c r="U13" i="2"/>
  <c r="F29" i="2"/>
  <c r="U18" i="2"/>
  <c r="V22" i="2"/>
  <c r="K29" i="2"/>
  <c r="K14" i="2"/>
  <c r="V13" i="2"/>
  <c r="X13" i="2"/>
  <c r="W13" i="2"/>
  <c r="Y10" i="2"/>
  <c r="W9" i="2"/>
  <c r="Y9" i="2"/>
  <c r="Z5" i="2"/>
  <c r="X9" i="2"/>
  <c r="T14" i="2"/>
  <c r="T30" i="2" s="1"/>
  <c r="V9" i="2"/>
  <c r="U9" i="2"/>
  <c r="U14" i="2" s="1"/>
  <c r="B14" i="2"/>
  <c r="C14" i="2"/>
  <c r="C30" i="2" s="1"/>
  <c r="G29" i="2"/>
  <c r="G14" i="2"/>
  <c r="G30" i="2" s="1"/>
  <c r="D14" i="2"/>
  <c r="D30" i="2" s="1"/>
  <c r="H14" i="2"/>
  <c r="H30" i="2" s="1"/>
  <c r="H29" i="2"/>
  <c r="I29" i="2"/>
  <c r="E14" i="2"/>
  <c r="E30" i="2" s="1"/>
  <c r="I14" i="2"/>
  <c r="I30" i="2" s="1"/>
  <c r="F14" i="2"/>
  <c r="J14" i="2"/>
  <c r="J30" i="2" s="1"/>
  <c r="Q23" i="2" l="1"/>
  <c r="Q25" i="2" s="1"/>
  <c r="Q31" i="2"/>
  <c r="N23" i="2"/>
  <c r="N25" i="2" s="1"/>
  <c r="N31" i="2"/>
  <c r="R27" i="2"/>
  <c r="R32" i="2"/>
  <c r="AE18" i="2"/>
  <c r="AD18" i="2"/>
  <c r="M19" i="2"/>
  <c r="M23" i="2" s="1"/>
  <c r="M25" i="2" s="1"/>
  <c r="J19" i="2"/>
  <c r="J31" i="2" s="1"/>
  <c r="U29" i="2"/>
  <c r="L19" i="2"/>
  <c r="Y29" i="2"/>
  <c r="F19" i="2"/>
  <c r="F30" i="2"/>
  <c r="U19" i="2"/>
  <c r="U30" i="2"/>
  <c r="V29" i="2"/>
  <c r="X18" i="2"/>
  <c r="K19" i="2"/>
  <c r="K30" i="2"/>
  <c r="Y18" i="2"/>
  <c r="X14" i="2"/>
  <c r="X30" i="2" s="1"/>
  <c r="V14" i="2"/>
  <c r="W14" i="2"/>
  <c r="Y13" i="2"/>
  <c r="Y14" i="2" s="1"/>
  <c r="Z10" i="2"/>
  <c r="W29" i="2"/>
  <c r="X29" i="2"/>
  <c r="AA5" i="2"/>
  <c r="Z9" i="2"/>
  <c r="T19" i="2"/>
  <c r="T31" i="2" s="1"/>
  <c r="B30" i="2"/>
  <c r="B19" i="2"/>
  <c r="C19" i="2"/>
  <c r="G19" i="2"/>
  <c r="D19" i="2"/>
  <c r="H19" i="2"/>
  <c r="H31" i="2" s="1"/>
  <c r="E19" i="2"/>
  <c r="I19" i="2"/>
  <c r="I23" i="2" s="1"/>
  <c r="I25" i="2" s="1"/>
  <c r="N32" i="2" l="1"/>
  <c r="N27" i="2"/>
  <c r="Q27" i="2"/>
  <c r="Q32" i="2"/>
  <c r="I27" i="2"/>
  <c r="I32" i="2"/>
  <c r="M27" i="2"/>
  <c r="M32" i="2"/>
  <c r="J23" i="2"/>
  <c r="J25" i="2" s="1"/>
  <c r="M31" i="2"/>
  <c r="L23" i="2"/>
  <c r="L31" i="2"/>
  <c r="W19" i="2"/>
  <c r="W31" i="2" s="1"/>
  <c r="U23" i="2"/>
  <c r="U25" i="2" s="1"/>
  <c r="U31" i="2"/>
  <c r="F31" i="2"/>
  <c r="F23" i="2"/>
  <c r="F25" i="2" s="1"/>
  <c r="K31" i="2"/>
  <c r="K23" i="2"/>
  <c r="K25" i="2" s="1"/>
  <c r="Z18" i="2"/>
  <c r="X19" i="2"/>
  <c r="X23" i="2" s="1"/>
  <c r="V19" i="2"/>
  <c r="V30" i="2"/>
  <c r="W30" i="2"/>
  <c r="Z13" i="2"/>
  <c r="Z14" i="2" s="1"/>
  <c r="AA10" i="2"/>
  <c r="AB5" i="2"/>
  <c r="AA9" i="2"/>
  <c r="Z29" i="2"/>
  <c r="Y19" i="2"/>
  <c r="Y30" i="2"/>
  <c r="W23" i="2"/>
  <c r="T23" i="2"/>
  <c r="T25" i="2" s="1"/>
  <c r="T32" i="2" s="1"/>
  <c r="B23" i="2"/>
  <c r="B25" i="2" s="1"/>
  <c r="B31" i="2"/>
  <c r="C31" i="2"/>
  <c r="C23" i="2"/>
  <c r="C25" i="2" s="1"/>
  <c r="G31" i="2"/>
  <c r="G23" i="2"/>
  <c r="G25" i="2" s="1"/>
  <c r="D31" i="2"/>
  <c r="D23" i="2"/>
  <c r="D25" i="2" s="1"/>
  <c r="H23" i="2"/>
  <c r="H25" i="2" s="1"/>
  <c r="E23" i="2"/>
  <c r="E25" i="2" s="1"/>
  <c r="E31" i="2"/>
  <c r="I31" i="2"/>
  <c r="E27" i="2" l="1"/>
  <c r="E32" i="2"/>
  <c r="J27" i="2"/>
  <c r="J32" i="2"/>
  <c r="H27" i="2"/>
  <c r="H32" i="2"/>
  <c r="K27" i="2"/>
  <c r="K32" i="2"/>
  <c r="F27" i="2"/>
  <c r="F32" i="2"/>
  <c r="G27" i="2"/>
  <c r="G32" i="2"/>
  <c r="D27" i="2"/>
  <c r="D32" i="2"/>
  <c r="U27" i="2"/>
  <c r="U32" i="2"/>
  <c r="B27" i="2"/>
  <c r="B32" i="2"/>
  <c r="T27" i="2"/>
  <c r="C27" i="2"/>
  <c r="C32" i="2"/>
  <c r="L25" i="2"/>
  <c r="X24" i="2"/>
  <c r="X25" i="2" s="1"/>
  <c r="X32" i="2" s="1"/>
  <c r="W25" i="2"/>
  <c r="W32" i="2" s="1"/>
  <c r="AA18" i="2"/>
  <c r="X31" i="2"/>
  <c r="V23" i="2"/>
  <c r="V25" i="2" s="1"/>
  <c r="V31" i="2"/>
  <c r="AA13" i="2"/>
  <c r="AA14" i="2" s="1"/>
  <c r="AB10" i="2"/>
  <c r="AC5" i="2"/>
  <c r="AB9" i="2"/>
  <c r="Z19" i="2"/>
  <c r="Z30" i="2"/>
  <c r="Y31" i="2"/>
  <c r="AA29" i="2"/>
  <c r="L27" i="2" l="1"/>
  <c r="L32" i="2"/>
  <c r="V27" i="2"/>
  <c r="V32" i="2"/>
  <c r="X27" i="2"/>
  <c r="X42" i="2"/>
  <c r="AC9" i="2"/>
  <c r="AC29" i="2" s="1"/>
  <c r="AD5" i="2"/>
  <c r="W27" i="2"/>
  <c r="AC18" i="2"/>
  <c r="AB18" i="2"/>
  <c r="AC10" i="2"/>
  <c r="AB13" i="2"/>
  <c r="AB14" i="2" s="1"/>
  <c r="AB29" i="2"/>
  <c r="AA19" i="2"/>
  <c r="AA30" i="2"/>
  <c r="Z31" i="2"/>
  <c r="Y22" i="2" l="1"/>
  <c r="Y23" i="2" s="1"/>
  <c r="Y24" i="2" s="1"/>
  <c r="Y25" i="2" s="1"/>
  <c r="AC13" i="2"/>
  <c r="AC14" i="2" s="1"/>
  <c r="AC19" i="2" s="1"/>
  <c r="AD10" i="2"/>
  <c r="AE5" i="2"/>
  <c r="AE9" i="2" s="1"/>
  <c r="AD9" i="2"/>
  <c r="AD29" i="2" s="1"/>
  <c r="AB19" i="2"/>
  <c r="AB30" i="2"/>
  <c r="AA31" i="2"/>
  <c r="AE29" i="2" l="1"/>
  <c r="AC30" i="2"/>
  <c r="Y27" i="2"/>
  <c r="Y32" i="2"/>
  <c r="Y42" i="2"/>
  <c r="AD13" i="2"/>
  <c r="AD14" i="2" s="1"/>
  <c r="AE10" i="2"/>
  <c r="AE13" i="2" s="1"/>
  <c r="AE14" i="2" s="1"/>
  <c r="AB31" i="2"/>
  <c r="AC31" i="2"/>
  <c r="AD19" i="2" l="1"/>
  <c r="AD31" i="2" s="1"/>
  <c r="AD30" i="2"/>
  <c r="AE19" i="2"/>
  <c r="AE31" i="2" s="1"/>
  <c r="AE30" i="2"/>
  <c r="Z22" i="2"/>
  <c r="Z23" i="2" s="1"/>
  <c r="Z24" i="2" s="1"/>
  <c r="Z25" i="2" s="1"/>
  <c r="Z27" i="2" l="1"/>
  <c r="Z32" i="2"/>
  <c r="Z42" i="2"/>
  <c r="AA22" i="2"/>
  <c r="AA23" i="2" l="1"/>
  <c r="AA24" i="2" s="1"/>
  <c r="AA25" i="2" s="1"/>
  <c r="AA32" i="2" s="1"/>
  <c r="AA27" i="2" l="1"/>
  <c r="AA42" i="2"/>
  <c r="AB22" i="2" s="1"/>
  <c r="AB23" i="2" s="1"/>
  <c r="AB24" i="2" s="1"/>
  <c r="AB25" i="2" s="1"/>
  <c r="AB27" i="2" l="1"/>
  <c r="AB32" i="2"/>
  <c r="AB42" i="2"/>
  <c r="AC22" i="2" s="1"/>
  <c r="AC23" i="2" s="1"/>
  <c r="AC24" i="2" s="1"/>
  <c r="AC25" i="2" s="1"/>
  <c r="AC42" i="2" l="1"/>
  <c r="AD22" i="2" s="1"/>
  <c r="AD23" i="2" s="1"/>
  <c r="AD24" i="2" s="1"/>
  <c r="AD25" i="2" s="1"/>
  <c r="AC27" i="2"/>
  <c r="AC32" i="2"/>
  <c r="AD42" i="2" l="1"/>
  <c r="AE22" i="2" s="1"/>
  <c r="AE23" i="2" s="1"/>
  <c r="AE24" i="2" s="1"/>
  <c r="AE25" i="2" s="1"/>
  <c r="AE32" i="2" s="1"/>
  <c r="AD32" i="2"/>
  <c r="AD27" i="2"/>
  <c r="AE27" i="2" l="1"/>
  <c r="AF25" i="2"/>
  <c r="AG25" i="2" s="1"/>
  <c r="AH25" i="2" s="1"/>
  <c r="AI25" i="2" s="1"/>
  <c r="AJ25" i="2" s="1"/>
  <c r="AK25" i="2" s="1"/>
  <c r="AL25" i="2" s="1"/>
  <c r="AM25" i="2" s="1"/>
  <c r="AN25" i="2" s="1"/>
  <c r="AO25" i="2" s="1"/>
  <c r="AP25" i="2" s="1"/>
  <c r="AQ25" i="2" s="1"/>
  <c r="AR25" i="2" s="1"/>
  <c r="AS25" i="2" s="1"/>
  <c r="AT25" i="2" s="1"/>
  <c r="AU25" i="2" s="1"/>
  <c r="AV25" i="2" s="1"/>
  <c r="AW25" i="2" s="1"/>
  <c r="AX25" i="2" s="1"/>
  <c r="AY25" i="2" s="1"/>
  <c r="AZ25" i="2" s="1"/>
  <c r="BA25" i="2" s="1"/>
  <c r="BB25" i="2" s="1"/>
  <c r="BC25" i="2" s="1"/>
  <c r="BD25" i="2" s="1"/>
  <c r="BE25" i="2" s="1"/>
  <c r="BF25" i="2" s="1"/>
  <c r="BG25" i="2" s="1"/>
  <c r="BH25" i="2" s="1"/>
  <c r="BI25" i="2" s="1"/>
  <c r="BJ25" i="2" s="1"/>
  <c r="BK25" i="2" s="1"/>
  <c r="BL25" i="2" s="1"/>
  <c r="BM25" i="2" s="1"/>
  <c r="BN25" i="2" s="1"/>
  <c r="BO25" i="2" s="1"/>
  <c r="BP25" i="2" s="1"/>
  <c r="BQ25" i="2" s="1"/>
  <c r="BR25" i="2" s="1"/>
  <c r="BS25" i="2" s="1"/>
  <c r="BT25" i="2" s="1"/>
  <c r="BU25" i="2" s="1"/>
  <c r="BV25" i="2" s="1"/>
  <c r="BW25" i="2" s="1"/>
  <c r="BX25" i="2" s="1"/>
  <c r="BY25" i="2" s="1"/>
  <c r="BZ25" i="2" s="1"/>
  <c r="CA25" i="2" s="1"/>
  <c r="CB25" i="2" s="1"/>
  <c r="CC25" i="2" s="1"/>
  <c r="CD25" i="2" s="1"/>
  <c r="CE25" i="2" s="1"/>
  <c r="CF25" i="2" s="1"/>
  <c r="CG25" i="2" s="1"/>
  <c r="CH25" i="2" s="1"/>
  <c r="CI25" i="2" s="1"/>
  <c r="CJ25" i="2" s="1"/>
  <c r="CK25" i="2" s="1"/>
  <c r="CL25" i="2" s="1"/>
  <c r="CM25" i="2" s="1"/>
  <c r="CN25" i="2" s="1"/>
  <c r="CO25" i="2" s="1"/>
  <c r="CP25" i="2" s="1"/>
  <c r="CQ25" i="2" s="1"/>
  <c r="CR25" i="2" s="1"/>
  <c r="CS25" i="2" s="1"/>
  <c r="CT25" i="2" s="1"/>
  <c r="CU25" i="2" s="1"/>
  <c r="CV25" i="2" s="1"/>
  <c r="CW25" i="2" s="1"/>
  <c r="CX25" i="2" s="1"/>
  <c r="CY25" i="2" s="1"/>
  <c r="CZ25" i="2" s="1"/>
  <c r="DA25" i="2" s="1"/>
  <c r="DB25" i="2" s="1"/>
  <c r="AE42" i="2"/>
  <c r="AH8" i="2" l="1"/>
  <c r="AH10" i="2" s="1"/>
  <c r="AH1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X9" authorId="0" shapeId="0" xr:uid="{5905ACB0-4668-45FE-B411-50CC5EF930A1}">
      <text>
        <r>
          <rPr>
            <b/>
            <sz val="9"/>
            <color indexed="81"/>
            <rFont val="Tahoma"/>
            <family val="2"/>
          </rPr>
          <t>alexa:</t>
        </r>
        <r>
          <rPr>
            <sz val="9"/>
            <color indexed="81"/>
            <rFont val="Tahoma"/>
            <family val="2"/>
          </rPr>
          <t xml:space="preserve">
23300 to 23550</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6"/>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<sst xmlns="http://schemas.openxmlformats.org/spreadsheetml/2006/main" count="65" uniqueCount="61">
  <si>
    <t>ticket</t>
  </si>
  <si>
    <t>price</t>
  </si>
  <si>
    <t>shares</t>
  </si>
  <si>
    <t>mc</t>
  </si>
  <si>
    <t>cash</t>
  </si>
  <si>
    <t>debt</t>
  </si>
  <si>
    <t>ev</t>
  </si>
  <si>
    <t>Q1 2022</t>
  </si>
  <si>
    <t>Q2 2022</t>
  </si>
  <si>
    <t>Q3 2022</t>
  </si>
  <si>
    <t>Q4 2022</t>
  </si>
  <si>
    <t>Q1 2023</t>
  </si>
  <si>
    <t>Q2 2023</t>
  </si>
  <si>
    <t>Q3 2023</t>
  </si>
  <si>
    <t>Q4 2023</t>
  </si>
  <si>
    <t>Q1 2024</t>
  </si>
  <si>
    <t>Subscription</t>
  </si>
  <si>
    <t>Product</t>
  </si>
  <si>
    <t>Services</t>
  </si>
  <si>
    <t>COGS Subscription</t>
  </si>
  <si>
    <t>COGS Product</t>
  </si>
  <si>
    <t>COGS Services</t>
  </si>
  <si>
    <t>Total COGS</t>
  </si>
  <si>
    <t>Gross Profit</t>
  </si>
  <si>
    <t>R&amp;D</t>
  </si>
  <si>
    <t>S&amp;M</t>
  </si>
  <si>
    <t>G&amp;A</t>
  </si>
  <si>
    <t>Total Opex</t>
  </si>
  <si>
    <t>Operating Income</t>
  </si>
  <si>
    <t>Interest Expenses</t>
  </si>
  <si>
    <t>Investment Gains</t>
  </si>
  <si>
    <t>Other income</t>
  </si>
  <si>
    <t>Pretax Income</t>
  </si>
  <si>
    <t>Taxes</t>
  </si>
  <si>
    <t>Net Income</t>
  </si>
  <si>
    <t>Shares</t>
  </si>
  <si>
    <t>EPS</t>
  </si>
  <si>
    <t>Revenue Y/Y</t>
  </si>
  <si>
    <t>Gross Margin</t>
  </si>
  <si>
    <t>Operating Margin</t>
  </si>
  <si>
    <t xml:space="preserve">CFFO </t>
  </si>
  <si>
    <t>CAPEX</t>
  </si>
  <si>
    <t>SBC</t>
  </si>
  <si>
    <t>FCF</t>
  </si>
  <si>
    <t>Discount</t>
  </si>
  <si>
    <t xml:space="preserve">maturity </t>
  </si>
  <si>
    <t xml:space="preserve">npv </t>
  </si>
  <si>
    <t>net cash</t>
  </si>
  <si>
    <t>Q2 2024</t>
  </si>
  <si>
    <t>Q3 2024</t>
  </si>
  <si>
    <t>Revenue</t>
  </si>
  <si>
    <t>TTM</t>
  </si>
  <si>
    <t>EV/FCF</t>
  </si>
  <si>
    <t>Q4 2024</t>
  </si>
  <si>
    <t>Q1 2025</t>
  </si>
  <si>
    <t>Buybacks</t>
  </si>
  <si>
    <t>RPO</t>
  </si>
  <si>
    <t>Net Margin</t>
  </si>
  <si>
    <t>ROIC</t>
  </si>
  <si>
    <t>Net Cash</t>
  </si>
  <si>
    <t>Q2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</si>
</sst>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 ;_-[$$-409]* \-#,##0.00\ ;_-[$$-409]* &quot;-&quot;??_ ;_-@_ "/>
    <numFmt numFmtId="165" formatCode="0.0%"/>
    <numFmt numFmtId="166" formatCode="_([$$-409]* #,##0.00_);_([$$-409]* \(#,##0.00\);_([$$-409]* &quot;-&quot;??_);_(@_)"/>
    <numFmt numFmtId="167" formatCode="0.0\x"/>
  </numFmts>
  <fonts count="6" x14ac:knownFonts="1">
    <font>
      <sz val="11"/>
      <color theme="1"/>
      <name val="Aptos Narrow"/>
      <family val="2"/>
      <scheme val="minor"/>
    </font>
    <font>
      <sz val="10"/>
      <color theme="1"/>
      <name val="Arial"/>
      <family val="2"/>
    </font>
    <font>
      <b/>
      <sz val="10"/>
      <color theme="1"/>
      <name val="Arial"/>
      <family val="2"/>
    </font>
    <font>
      <sz val="9"/>
      <color indexed="81"/>
      <name val="Tahoma"/>
      <family val="2"/>
    </font>
    <font>
      <b/>
      <sz val="9"/>
      <color indexed="81"/>
      <name val="Tahoma"/>
      <family val="2"/>
    </font>
    <font>
      <u/>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3" fontId="1" fillId="0" borderId="0" xfId="0" applyNumberFormat="1" applyFont="1"/>
    <xf numFmtId="9" fontId="1" fillId="0" borderId="0" xfId="0" applyNumberFormat="1" applyFont="1"/>
    <xf numFmtId="164" fontId="1" fillId="0" borderId="0" xfId="0" applyNumberFormat="1" applyFont="1"/>
    <xf numFmtId="3" fontId="2" fillId="0" borderId="0" xfId="0" applyNumberFormat="1" applyFont="1"/>
    <xf numFmtId="165" fontId="1" fillId="0" borderId="0" xfId="0" applyNumberFormat="1" applyFont="1"/>
    <xf numFmtId="0" fontId="1" fillId="0" borderId="0" xfId="0" applyFont="1" applyAlignment="1">
      <alignment horizontal="left"/>
    </xf>
    <xf numFmtId="3" fontId="1" fillId="0" borderId="0" xfId="0" applyNumberFormat="1" applyFont="1" applyAlignment="1">
      <alignment horizontal="left"/>
    </xf>
    <xf numFmtId="166" fontId="1" fillId="0" borderId="0" xfId="0" applyNumberFormat="1" applyFont="1" applyAlignment="1">
      <alignment horizontal="left"/>
    </xf>
    <xf numFmtId="167" fontId="1" fillId="0" borderId="0" xfId="0" applyNumberFormat="1" applyFont="1"/>
    <xf numFmtId="165" fontId="2" fillId="0" borderId="0" xfId="0" applyNumberFormat="1" applyFont="1"/>
    <xf numFmtId="3"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Subscription</c:v>
          </c:tx>
          <c:spPr>
            <a:solidFill>
              <a:schemeClr val="accent1"/>
            </a:solidFill>
            <a:ln>
              <a:noFill/>
            </a:ln>
            <a:effectLst/>
          </c:spPr>
          <c:invertIfNegative val="0"/>
          <c:cat>
            <c:strRef>
              <c:f>model!$B$2:$M$2</c:f>
              <c:strCache>
                <c:ptCount val="12"/>
                <c:pt idx="0">
                  <c:v>Q1 2022</c:v>
                </c:pt>
                <c:pt idx="1">
                  <c:v>Q2 2022</c:v>
                </c:pt>
                <c:pt idx="2">
                  <c:v>Q3 2022</c:v>
                </c:pt>
                <c:pt idx="3">
                  <c:v>Q4 2022</c:v>
                </c:pt>
                <c:pt idx="4">
                  <c:v>Q1 2023</c:v>
                </c:pt>
                <c:pt idx="5">
                  <c:v>Q2 2023</c:v>
                </c:pt>
                <c:pt idx="6">
                  <c:v>Q3 2023</c:v>
                </c:pt>
                <c:pt idx="7">
                  <c:v>Q4 2023</c:v>
                </c:pt>
                <c:pt idx="8">
                  <c:v>Q1 2024</c:v>
                </c:pt>
                <c:pt idx="9">
                  <c:v>Q2 2024</c:v>
                </c:pt>
                <c:pt idx="10">
                  <c:v>Q3 2024</c:v>
                </c:pt>
                <c:pt idx="11">
                  <c:v>Q4 2024</c:v>
                </c:pt>
              </c:strCache>
            </c:strRef>
          </c:cat>
          <c:val>
            <c:numRef>
              <c:f>model!$B$5:$M$5</c:f>
              <c:numCache>
                <c:formatCode>#,##0</c:formatCode>
                <c:ptCount val="12"/>
                <c:pt idx="0">
                  <c:v>3958</c:v>
                </c:pt>
                <c:pt idx="1">
                  <c:v>4070</c:v>
                </c:pt>
                <c:pt idx="2">
                  <c:v>4128</c:v>
                </c:pt>
                <c:pt idx="3">
                  <c:v>4232</c:v>
                </c:pt>
                <c:pt idx="4">
                  <c:v>4373</c:v>
                </c:pt>
                <c:pt idx="5">
                  <c:v>4517</c:v>
                </c:pt>
                <c:pt idx="6">
                  <c:v>4631</c:v>
                </c:pt>
                <c:pt idx="7">
                  <c:v>4763</c:v>
                </c:pt>
                <c:pt idx="8">
                  <c:v>4916</c:v>
                </c:pt>
                <c:pt idx="9">
                  <c:v>5060</c:v>
                </c:pt>
                <c:pt idx="10">
                  <c:v>5180</c:v>
                </c:pt>
                <c:pt idx="11">
                  <c:v>5365</c:v>
                </c:pt>
              </c:numCache>
            </c:numRef>
          </c:val>
          <c:extLst>
            <c:ext xmlns:c16="http://schemas.microsoft.com/office/drawing/2014/chart" uri="{C3380CC4-5D6E-409C-BE32-E72D297353CC}">
              <c16:uniqueId val="{00000000-45E5-4A9A-9E16-137BBBB3DC72}"/>
            </c:ext>
          </c:extLst>
        </c:ser>
        <c:ser>
          <c:idx val="1"/>
          <c:order val="1"/>
          <c:tx>
            <c:v>Product</c:v>
          </c:tx>
          <c:spPr>
            <a:solidFill>
              <a:schemeClr val="accent2"/>
            </a:solidFill>
            <a:ln>
              <a:noFill/>
            </a:ln>
            <a:effectLst/>
          </c:spPr>
          <c:invertIfNegative val="0"/>
          <c:cat>
            <c:strRef>
              <c:f>model!$B$2:$M$2</c:f>
              <c:strCache>
                <c:ptCount val="12"/>
                <c:pt idx="0">
                  <c:v>Q1 2022</c:v>
                </c:pt>
                <c:pt idx="1">
                  <c:v>Q2 2022</c:v>
                </c:pt>
                <c:pt idx="2">
                  <c:v>Q3 2022</c:v>
                </c:pt>
                <c:pt idx="3">
                  <c:v>Q4 2022</c:v>
                </c:pt>
                <c:pt idx="4">
                  <c:v>Q1 2023</c:v>
                </c:pt>
                <c:pt idx="5">
                  <c:v>Q2 2023</c:v>
                </c:pt>
                <c:pt idx="6">
                  <c:v>Q3 2023</c:v>
                </c:pt>
                <c:pt idx="7">
                  <c:v>Q4 2023</c:v>
                </c:pt>
                <c:pt idx="8">
                  <c:v>Q1 2024</c:v>
                </c:pt>
                <c:pt idx="9">
                  <c:v>Q2 2024</c:v>
                </c:pt>
                <c:pt idx="10">
                  <c:v>Q3 2024</c:v>
                </c:pt>
                <c:pt idx="11">
                  <c:v>Q4 2024</c:v>
                </c:pt>
              </c:strCache>
            </c:strRef>
          </c:cat>
          <c:val>
            <c:numRef>
              <c:f>model!$B$6:$M$6</c:f>
              <c:numCache>
                <c:formatCode>#,##0</c:formatCode>
                <c:ptCount val="12"/>
                <c:pt idx="0">
                  <c:v>145</c:v>
                </c:pt>
                <c:pt idx="1">
                  <c:v>146</c:v>
                </c:pt>
                <c:pt idx="2">
                  <c:v>126</c:v>
                </c:pt>
                <c:pt idx="3">
                  <c:v>115</c:v>
                </c:pt>
                <c:pt idx="4">
                  <c:v>120</c:v>
                </c:pt>
                <c:pt idx="5">
                  <c:v>130</c:v>
                </c:pt>
                <c:pt idx="6">
                  <c:v>96</c:v>
                </c:pt>
                <c:pt idx="7">
                  <c:v>114</c:v>
                </c:pt>
                <c:pt idx="8">
                  <c:v>119</c:v>
                </c:pt>
                <c:pt idx="9">
                  <c:v>104</c:v>
                </c:pt>
                <c:pt idx="10">
                  <c:v>82</c:v>
                </c:pt>
                <c:pt idx="11">
                  <c:v>81</c:v>
                </c:pt>
              </c:numCache>
            </c:numRef>
          </c:val>
          <c:extLst>
            <c:ext xmlns:c16="http://schemas.microsoft.com/office/drawing/2014/chart" uri="{C3380CC4-5D6E-409C-BE32-E72D297353CC}">
              <c16:uniqueId val="{00000001-45E5-4A9A-9E16-137BBBB3DC72}"/>
            </c:ext>
          </c:extLst>
        </c:ser>
        <c:ser>
          <c:idx val="2"/>
          <c:order val="2"/>
          <c:tx>
            <c:v>Services</c:v>
          </c:tx>
          <c:spPr>
            <a:solidFill>
              <a:schemeClr val="accent3"/>
            </a:solidFill>
            <a:ln>
              <a:noFill/>
            </a:ln>
            <a:effectLst/>
          </c:spPr>
          <c:invertIfNegative val="0"/>
          <c:cat>
            <c:strRef>
              <c:f>model!$B$2:$M$2</c:f>
              <c:strCache>
                <c:ptCount val="12"/>
                <c:pt idx="0">
                  <c:v>Q1 2022</c:v>
                </c:pt>
                <c:pt idx="1">
                  <c:v>Q2 2022</c:v>
                </c:pt>
                <c:pt idx="2">
                  <c:v>Q3 2022</c:v>
                </c:pt>
                <c:pt idx="3">
                  <c:v>Q4 2022</c:v>
                </c:pt>
                <c:pt idx="4">
                  <c:v>Q1 2023</c:v>
                </c:pt>
                <c:pt idx="5">
                  <c:v>Q2 2023</c:v>
                </c:pt>
                <c:pt idx="6">
                  <c:v>Q3 2023</c:v>
                </c:pt>
                <c:pt idx="7">
                  <c:v>Q4 2023</c:v>
                </c:pt>
                <c:pt idx="8">
                  <c:v>Q1 2024</c:v>
                </c:pt>
                <c:pt idx="9">
                  <c:v>Q2 2024</c:v>
                </c:pt>
                <c:pt idx="10">
                  <c:v>Q3 2024</c:v>
                </c:pt>
                <c:pt idx="11">
                  <c:v>Q4 2024</c:v>
                </c:pt>
              </c:strCache>
            </c:strRef>
          </c:cat>
          <c:val>
            <c:numRef>
              <c:f>model!$B$7:$M$7</c:f>
              <c:numCache>
                <c:formatCode>#,##0</c:formatCode>
                <c:ptCount val="12"/>
                <c:pt idx="0">
                  <c:v>159</c:v>
                </c:pt>
                <c:pt idx="1">
                  <c:v>170</c:v>
                </c:pt>
                <c:pt idx="2">
                  <c:v>179</c:v>
                </c:pt>
                <c:pt idx="3">
                  <c:v>178</c:v>
                </c:pt>
                <c:pt idx="4">
                  <c:v>162</c:v>
                </c:pt>
                <c:pt idx="5">
                  <c:v>169</c:v>
                </c:pt>
                <c:pt idx="6">
                  <c:v>163</c:v>
                </c:pt>
                <c:pt idx="7">
                  <c:v>171</c:v>
                </c:pt>
                <c:pt idx="8">
                  <c:v>147</c:v>
                </c:pt>
                <c:pt idx="9">
                  <c:v>145</c:v>
                </c:pt>
                <c:pt idx="10">
                  <c:v>146</c:v>
                </c:pt>
                <c:pt idx="11">
                  <c:v>160</c:v>
                </c:pt>
              </c:numCache>
            </c:numRef>
          </c:val>
          <c:extLst>
            <c:ext xmlns:c16="http://schemas.microsoft.com/office/drawing/2014/chart" uri="{C3380CC4-5D6E-409C-BE32-E72D297353CC}">
              <c16:uniqueId val="{00000002-45E5-4A9A-9E16-137BBBB3DC72}"/>
            </c:ext>
          </c:extLst>
        </c:ser>
        <c:dLbls>
          <c:showLegendKey val="0"/>
          <c:showVal val="0"/>
          <c:showCatName val="0"/>
          <c:showSerName val="0"/>
          <c:showPercent val="0"/>
          <c:showBubbleSize val="0"/>
        </c:dLbls>
        <c:gapWidth val="150"/>
        <c:overlap val="100"/>
        <c:axId val="975199568"/>
        <c:axId val="975196208"/>
      </c:barChart>
      <c:catAx>
        <c:axId val="975199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196208"/>
        <c:crosses val="autoZero"/>
        <c:auto val="1"/>
        <c:lblAlgn val="ctr"/>
        <c:lblOffset val="100"/>
        <c:noMultiLvlLbl val="0"/>
      </c:catAx>
      <c:valAx>
        <c:axId val="9751962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1995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TTM FCF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model!$E$2:$M$2</c:f>
              <c:strCache>
                <c:ptCount val="9"/>
                <c:pt idx="0">
                  <c:v>Q4 2022</c:v>
                </c:pt>
                <c:pt idx="1">
                  <c:v>Q1 2023</c:v>
                </c:pt>
                <c:pt idx="2">
                  <c:v>Q2 2023</c:v>
                </c:pt>
                <c:pt idx="3">
                  <c:v>Q3 2023</c:v>
                </c:pt>
                <c:pt idx="4">
                  <c:v>Q4 2023</c:v>
                </c:pt>
                <c:pt idx="5">
                  <c:v>Q1 2024</c:v>
                </c:pt>
                <c:pt idx="6">
                  <c:v>Q2 2024</c:v>
                </c:pt>
                <c:pt idx="7">
                  <c:v>Q3 2024</c:v>
                </c:pt>
                <c:pt idx="8">
                  <c:v>Q4 2024</c:v>
                </c:pt>
              </c:strCache>
            </c:strRef>
          </c:cat>
          <c:val>
            <c:numRef>
              <c:f>model!$E$38:$M$38</c:f>
              <c:numCache>
                <c:formatCode>#,##0</c:formatCode>
                <c:ptCount val="9"/>
                <c:pt idx="0">
                  <c:v>7396</c:v>
                </c:pt>
                <c:pt idx="1">
                  <c:v>7319</c:v>
                </c:pt>
                <c:pt idx="2">
                  <c:v>7423</c:v>
                </c:pt>
                <c:pt idx="3">
                  <c:v>7626</c:v>
                </c:pt>
                <c:pt idx="4">
                  <c:v>6942</c:v>
                </c:pt>
                <c:pt idx="5">
                  <c:v>6487</c:v>
                </c:pt>
                <c:pt idx="6">
                  <c:v>6450</c:v>
                </c:pt>
                <c:pt idx="7">
                  <c:v>6632</c:v>
                </c:pt>
                <c:pt idx="8">
                  <c:v>7955</c:v>
                </c:pt>
              </c:numCache>
            </c:numRef>
          </c:val>
          <c:extLst>
            <c:ext xmlns:c16="http://schemas.microsoft.com/office/drawing/2014/chart" uri="{C3380CC4-5D6E-409C-BE32-E72D297353CC}">
              <c16:uniqueId val="{00000000-8A62-453A-90BE-CA17E6AD5938}"/>
            </c:ext>
          </c:extLst>
        </c:ser>
        <c:dLbls>
          <c:showLegendKey val="0"/>
          <c:showVal val="0"/>
          <c:showCatName val="0"/>
          <c:showSerName val="0"/>
          <c:showPercent val="0"/>
          <c:showBubbleSize val="0"/>
        </c:dLbls>
        <c:gapWidth val="219"/>
        <c:overlap val="-27"/>
        <c:axId val="1071217328"/>
        <c:axId val="1071212048"/>
      </c:barChart>
      <c:catAx>
        <c:axId val="1071217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212048"/>
        <c:crosses val="autoZero"/>
        <c:auto val="1"/>
        <c:lblAlgn val="ctr"/>
        <c:lblOffset val="100"/>
        <c:noMultiLvlLbl val="0"/>
      </c:catAx>
      <c:valAx>
        <c:axId val="10712120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2173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0</xdr:colOff>
      <xdr:row>10</xdr:row>
      <xdr:rowOff>160020</xdr:rowOff>
    </xdr:from>
    <xdr:to>
      <xdr:col>12</xdr:col>
      <xdr:colOff>297180</xdr:colOff>
      <xdr:row>26</xdr:row>
      <xdr:rowOff>15240</xdr:rowOff>
    </xdr:to>
    <xdr:graphicFrame macro="">
      <xdr:nvGraphicFramePr>
        <xdr:cNvPr id="2" name="Chart 1">
          <a:extLst>
            <a:ext uri="{FF2B5EF4-FFF2-40B4-BE49-F238E27FC236}">
              <a16:creationId xmlns:a16="http://schemas.microsoft.com/office/drawing/2014/main" id="{CB6AECA4-3C09-47D0-B59C-45F6AFC60C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11</xdr:row>
      <xdr:rowOff>0</xdr:rowOff>
    </xdr:from>
    <xdr:to>
      <xdr:col>21</xdr:col>
      <xdr:colOff>22860</xdr:colOff>
      <xdr:row>26</xdr:row>
      <xdr:rowOff>15240</xdr:rowOff>
    </xdr:to>
    <xdr:graphicFrame macro="">
      <xdr:nvGraphicFramePr>
        <xdr:cNvPr id="3" name="Chart 2">
          <a:extLst>
            <a:ext uri="{FF2B5EF4-FFF2-40B4-BE49-F238E27FC236}">
              <a16:creationId xmlns:a16="http://schemas.microsoft.com/office/drawing/2014/main" id="{082345AB-26A9-461B-9A00-A76AEFB9F2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23</xdr:col>
      <xdr:colOff>19050</xdr:colOff>
      <xdr:row>0</xdr:row>
      <xdr:rowOff>0</xdr:rowOff>
    </xdr:from>
    <xdr:to>
      <xdr:col>23</xdr:col>
      <xdr:colOff>19050</xdr:colOff>
      <xdr:row>39</xdr:row>
      <xdr:rowOff>60960</xdr:rowOff>
    </xdr:to>
    <xdr:cxnSp macro="">
      <xdr:nvCxnSpPr>
        <xdr:cNvPr id="3" name="Straight Connector 2">
          <a:extLst>
            <a:ext uri="{FF2B5EF4-FFF2-40B4-BE49-F238E27FC236}">
              <a16:creationId xmlns:a16="http://schemas.microsoft.com/office/drawing/2014/main" id="{FC867709-48A2-D175-20C2-0AF52A2D565B}"/>
            </a:ext>
          </a:extLst>
        </xdr:cNvPr>
        <xdr:cNvCxnSpPr/>
      </xdr:nvCxnSpPr>
      <xdr:spPr>
        <a:xfrm>
          <a:off x="12153900" y="0"/>
          <a:ext cx="0" cy="623316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15240</xdr:colOff>
      <xdr:row>0</xdr:row>
      <xdr:rowOff>0</xdr:rowOff>
    </xdr:from>
    <xdr:to>
      <xdr:col>14</xdr:col>
      <xdr:colOff>15240</xdr:colOff>
      <xdr:row>39</xdr:row>
      <xdr:rowOff>60960</xdr:rowOff>
    </xdr:to>
    <xdr:cxnSp macro="">
      <xdr:nvCxnSpPr>
        <xdr:cNvPr id="2" name="Straight Connector 1">
          <a:extLst>
            <a:ext uri="{FF2B5EF4-FFF2-40B4-BE49-F238E27FC236}">
              <a16:creationId xmlns:a16="http://schemas.microsoft.com/office/drawing/2014/main" id="{DC124E30-53D3-441C-B600-38CCA17E01CB}"/>
            </a:ext>
          </a:extLst>
        </xdr:cNvPr>
        <xdr:cNvCxnSpPr/>
      </xdr:nvCxnSpPr>
      <xdr:spPr>
        <a:xfrm>
          <a:off x="9601200" y="0"/>
          <a:ext cx="0" cy="659892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http://es.wikipedia.org/wiki/Adobe_(empresa)</v>
    <v>Wikipedia</v>
  </rv>
  <rv s="1">
    <v>0</v>
    <v>1</v>
  </rv>
  <rv s="2">
    <v>6</v>
    <v>https://www.bing.com/th?id=AMMS_503c684ccc667ad525fe1d703881df2c&amp;qlt=95</v>
    <v>2</v>
    <v>0</v>
    <v>https://www.bing.com/images/search?form=xlimg&amp;q=adobe+systems</v>
    <v>Image of ADOBE INC.</v>
  </rv>
  <rv s="0">
    <v>https://www.bing.com/financeapi/forcetrigger?t=a1mv7w&amp;q=XNAS%3aADBE&amp;form=skydnc</v>
    <v>Learn more on Bing</v>
  </rv>
  <rv s="3">
    <v>en-GB</v>
    <v>a1mv7w</v>
    <v>268435456</v>
    <v>1</v>
    <v>Powered by Refinitiv</v>
    <v>0</v>
    <v>ADOBE INC. (XNAS:ADBE)</v>
    <v>3</v>
    <v>4</v>
    <v>Finance</v>
    <v>5</v>
    <v>587.75</v>
    <v>374.5</v>
    <v>1.4887999999999999</v>
    <v>16.899999999999999</v>
    <v>-3.1409999999999997E-3</v>
    <v>4.4728000000000004E-2</v>
    <v>-1.24</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396.36</v>
    <v>3</v>
    <v>Software &amp; IT Services</v>
    <v>Stock</v>
    <v>45730.999658414061</v>
    <v>4</v>
    <v>377.8</v>
    <v>171671399676</v>
    <v>ADOBE INC.</v>
    <v>ADOBE INC.</v>
    <v>379.745</v>
    <v>26.017700000000001</v>
    <v>377.84</v>
    <v>394.74</v>
    <v>393.5</v>
    <v>434897400</v>
    <v>ADBE</v>
    <v>ADOBE INC. (XNAS:ADBE)</v>
    <v>6134775</v>
    <v>3490659</v>
    <v>1997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3F100-B02D-4C4A-84F7-074B7503578C}">
  <dimension ref="K2:M10"/>
  <sheetViews>
    <sheetView tabSelected="1" topLeftCell="D1" workbookViewId="0">
      <selection activeCell="P7" sqref="P7"/>
    </sheetView>
  </sheetViews>
  <sheetFormatPr defaultColWidth="9.140625" defaultRowHeight="12.75" x14ac:dyDescent="0.2"/>
  <cols>
    <col min="1" max="16384" width="9.140625" style="1"/>
  </cols>
  <sheetData>
    <row r="2" spans="11:13" x14ac:dyDescent="0.2">
      <c r="K2" s="2" t="s">
        <v>0</v>
      </c>
      <c r="L2" s="8" t="e" vm="1">
        <v>#VALUE!</v>
      </c>
    </row>
    <row r="3" spans="11:13" x14ac:dyDescent="0.2">
      <c r="K3" s="2" t="s">
        <v>1</v>
      </c>
      <c r="L3" s="10" cm="1">
        <f t="array" aca="1" ref="L3" ca="1">+_FV(L2,"Price")</f>
        <v>394.74</v>
      </c>
    </row>
    <row r="4" spans="11:13" x14ac:dyDescent="0.2">
      <c r="K4" s="2" t="s">
        <v>2</v>
      </c>
      <c r="L4" s="8">
        <v>440.2</v>
      </c>
    </row>
    <row r="5" spans="11:13" x14ac:dyDescent="0.2">
      <c r="K5" s="2" t="s">
        <v>3</v>
      </c>
      <c r="L5" s="9">
        <f ca="1">+L3*L4</f>
        <v>173764.54800000001</v>
      </c>
    </row>
    <row r="6" spans="11:13" x14ac:dyDescent="0.2">
      <c r="K6" s="2" t="s">
        <v>4</v>
      </c>
      <c r="L6" s="9">
        <f>7613+273</f>
        <v>7886</v>
      </c>
      <c r="M6" s="1" t="s">
        <v>53</v>
      </c>
    </row>
    <row r="7" spans="11:13" x14ac:dyDescent="0.2">
      <c r="K7" s="2" t="s">
        <v>5</v>
      </c>
      <c r="L7" s="9">
        <f>1499+4129</f>
        <v>5628</v>
      </c>
      <c r="M7" s="1" t="s">
        <v>53</v>
      </c>
    </row>
    <row r="8" spans="11:13" x14ac:dyDescent="0.2">
      <c r="K8" s="2" t="s">
        <v>6</v>
      </c>
      <c r="L8" s="9">
        <f ca="1">+L5-L6+L7</f>
        <v>171506.54800000001</v>
      </c>
    </row>
    <row r="10" spans="11:13" x14ac:dyDescent="0.2">
      <c r="K10" s="2" t="s">
        <v>52</v>
      </c>
      <c r="L10" s="11">
        <f ca="1">+L8/model!M38</f>
        <v>21.55959120050283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4E669-4A7A-42E0-B53F-BA46B8EF8D29}">
  <dimension ref="A2:DB42"/>
  <sheetViews>
    <sheetView zoomScaleNormal="100" workbookViewId="0">
      <pane xSplit="1" ySplit="2" topLeftCell="C9" activePane="bottomRight" state="frozen"/>
      <selection pane="topRight" activeCell="B1" sqref="B1"/>
      <selection pane="bottomLeft" activeCell="A3" sqref="A3"/>
      <selection pane="bottomRight" activeCell="S41" sqref="S41"/>
    </sheetView>
  </sheetViews>
  <sheetFormatPr defaultColWidth="9.140625" defaultRowHeight="12.75" x14ac:dyDescent="0.2"/>
  <cols>
    <col min="1" max="1" width="19.140625" style="1" bestFit="1" customWidth="1"/>
    <col min="2" max="11" width="9.28515625" style="1" bestFit="1" customWidth="1"/>
    <col min="12" max="19" width="9.140625" style="1"/>
    <col min="20" max="31" width="9.28515625" style="1" bestFit="1" customWidth="1"/>
    <col min="32" max="32" width="9.28515625" style="1" customWidth="1"/>
    <col min="33" max="33" width="9.28515625" style="1" bestFit="1" customWidth="1"/>
    <col min="34" max="34" width="12.28515625" style="1" bestFit="1" customWidth="1"/>
    <col min="35" max="106" width="9.28515625" style="1" bestFit="1" customWidth="1"/>
    <col min="107" max="16384" width="9.140625" style="1"/>
  </cols>
  <sheetData>
    <row r="2" spans="1:34" x14ac:dyDescent="0.2">
      <c r="B2" s="2" t="s">
        <v>7</v>
      </c>
      <c r="C2" s="2" t="s">
        <v>8</v>
      </c>
      <c r="D2" s="2" t="s">
        <v>9</v>
      </c>
      <c r="E2" s="2" t="s">
        <v>10</v>
      </c>
      <c r="F2" s="2" t="s">
        <v>11</v>
      </c>
      <c r="G2" s="2" t="s">
        <v>12</v>
      </c>
      <c r="H2" s="2" t="s">
        <v>13</v>
      </c>
      <c r="I2" s="2" t="s">
        <v>14</v>
      </c>
      <c r="J2" s="2" t="s">
        <v>15</v>
      </c>
      <c r="K2" s="2" t="s">
        <v>48</v>
      </c>
      <c r="L2" s="2" t="s">
        <v>49</v>
      </c>
      <c r="M2" s="2" t="s">
        <v>53</v>
      </c>
      <c r="N2" s="2" t="s">
        <v>54</v>
      </c>
      <c r="O2" s="2" t="s">
        <v>60</v>
      </c>
      <c r="Q2" s="2">
        <v>2018</v>
      </c>
      <c r="R2" s="2">
        <v>2019</v>
      </c>
      <c r="S2" s="2">
        <v>2020</v>
      </c>
      <c r="T2" s="2">
        <v>2021</v>
      </c>
      <c r="U2" s="2">
        <f>+T2+1</f>
        <v>2022</v>
      </c>
      <c r="V2" s="2">
        <f t="shared" ref="V2:AC2" si="0">+U2+1</f>
        <v>2023</v>
      </c>
      <c r="W2" s="2">
        <f t="shared" si="0"/>
        <v>2024</v>
      </c>
      <c r="X2" s="2">
        <f t="shared" si="0"/>
        <v>2025</v>
      </c>
      <c r="Y2" s="2">
        <f t="shared" si="0"/>
        <v>2026</v>
      </c>
      <c r="Z2" s="2">
        <f t="shared" si="0"/>
        <v>2027</v>
      </c>
      <c r="AA2" s="2">
        <f t="shared" si="0"/>
        <v>2028</v>
      </c>
      <c r="AB2" s="2">
        <f t="shared" si="0"/>
        <v>2029</v>
      </c>
      <c r="AC2" s="2">
        <f t="shared" si="0"/>
        <v>2030</v>
      </c>
      <c r="AD2" s="2">
        <f t="shared" ref="AD2" si="1">+AC2+1</f>
        <v>2031</v>
      </c>
      <c r="AE2" s="2">
        <f t="shared" ref="AE2" si="2">+AD2+1</f>
        <v>2032</v>
      </c>
    </row>
    <row r="3" spans="1:34" x14ac:dyDescent="0.2">
      <c r="A3" s="1" t="s">
        <v>56</v>
      </c>
      <c r="B3" s="3">
        <v>12570</v>
      </c>
      <c r="C3" s="3">
        <v>13820</v>
      </c>
      <c r="D3" s="3">
        <v>14110</v>
      </c>
      <c r="E3" s="3">
        <v>15190</v>
      </c>
      <c r="F3" s="3">
        <v>15210</v>
      </c>
      <c r="G3" s="3">
        <v>15220</v>
      </c>
      <c r="H3" s="3">
        <v>15720</v>
      </c>
      <c r="I3" s="3">
        <v>17220</v>
      </c>
      <c r="J3" s="3">
        <v>17580</v>
      </c>
      <c r="K3" s="3">
        <v>17860</v>
      </c>
      <c r="L3" s="3">
        <v>18140</v>
      </c>
      <c r="M3" s="3">
        <v>19960</v>
      </c>
      <c r="N3" s="3">
        <v>19690</v>
      </c>
      <c r="O3" s="3"/>
      <c r="P3" s="3"/>
      <c r="Q3" s="3"/>
      <c r="R3" s="3"/>
      <c r="S3" s="3"/>
      <c r="T3" s="6"/>
      <c r="U3" s="6"/>
      <c r="V3" s="6"/>
      <c r="W3" s="6"/>
      <c r="X3" s="6"/>
      <c r="Y3" s="6"/>
      <c r="Z3" s="6"/>
      <c r="AA3" s="6"/>
      <c r="AB3" s="6"/>
      <c r="AC3" s="6"/>
      <c r="AD3" s="6"/>
      <c r="AE3" s="6"/>
    </row>
    <row r="4" spans="1:34" x14ac:dyDescent="0.2">
      <c r="B4" s="2"/>
      <c r="C4" s="2"/>
      <c r="D4" s="2"/>
      <c r="E4" s="2"/>
      <c r="F4" s="2"/>
      <c r="G4" s="2"/>
      <c r="H4" s="2"/>
      <c r="I4" s="2"/>
      <c r="J4" s="2"/>
      <c r="K4" s="2"/>
      <c r="L4" s="2"/>
      <c r="M4" s="2"/>
      <c r="N4" s="2"/>
      <c r="O4" s="3"/>
      <c r="R4" s="3"/>
      <c r="S4" s="3"/>
      <c r="T4" s="2"/>
      <c r="U4" s="2"/>
      <c r="V4" s="2"/>
      <c r="W4" s="2"/>
      <c r="X4" s="2"/>
      <c r="Y4" s="2"/>
      <c r="Z4" s="2"/>
      <c r="AA4" s="2"/>
      <c r="AB4" s="2"/>
      <c r="AC4" s="2"/>
      <c r="AD4" s="2"/>
      <c r="AE4" s="2"/>
    </row>
    <row r="5" spans="1:34" x14ac:dyDescent="0.2">
      <c r="A5" s="1" t="s">
        <v>16</v>
      </c>
      <c r="B5" s="3">
        <v>3958</v>
      </c>
      <c r="C5" s="3">
        <v>4070</v>
      </c>
      <c r="D5" s="3">
        <v>4128</v>
      </c>
      <c r="E5" s="3">
        <v>4232</v>
      </c>
      <c r="F5" s="3">
        <v>4373</v>
      </c>
      <c r="G5" s="3">
        <v>4517</v>
      </c>
      <c r="H5" s="3">
        <v>4631</v>
      </c>
      <c r="I5" s="3">
        <v>4763</v>
      </c>
      <c r="J5" s="3">
        <v>4916</v>
      </c>
      <c r="K5" s="3">
        <v>5060</v>
      </c>
      <c r="L5" s="3">
        <v>5180</v>
      </c>
      <c r="M5" s="3">
        <v>5365</v>
      </c>
      <c r="N5" s="3">
        <v>5483</v>
      </c>
      <c r="O5" s="3"/>
      <c r="Q5" s="1">
        <v>7604</v>
      </c>
      <c r="R5" s="3">
        <v>9634</v>
      </c>
      <c r="S5" s="3">
        <v>11626</v>
      </c>
      <c r="T5" s="3">
        <v>14573</v>
      </c>
      <c r="U5" s="3">
        <f>+SUM(B5:E5)</f>
        <v>16388</v>
      </c>
      <c r="V5" s="3">
        <f>+SUM(F5:I5)</f>
        <v>18284</v>
      </c>
      <c r="W5" s="3">
        <v>20521</v>
      </c>
      <c r="X5" s="3">
        <f t="shared" ref="X5:AC5" si="3">+W5*1.11</f>
        <v>22778.31</v>
      </c>
      <c r="Y5" s="3">
        <f t="shared" si="3"/>
        <v>25283.924100000004</v>
      </c>
      <c r="Z5" s="3">
        <f t="shared" si="3"/>
        <v>28065.155751000006</v>
      </c>
      <c r="AA5" s="3">
        <f t="shared" si="3"/>
        <v>31152.32288361001</v>
      </c>
      <c r="AB5" s="3">
        <f t="shared" si="3"/>
        <v>34579.078400807113</v>
      </c>
      <c r="AC5" s="3">
        <f t="shared" si="3"/>
        <v>38382.777024895899</v>
      </c>
      <c r="AD5" s="3">
        <f t="shared" ref="AD5" si="4">+AC5*1.11</f>
        <v>42604.882497634448</v>
      </c>
      <c r="AE5" s="3">
        <f t="shared" ref="AE5" si="5">+AD5*1.11</f>
        <v>47291.419572374238</v>
      </c>
      <c r="AG5" s="2" t="s">
        <v>44</v>
      </c>
      <c r="AH5" s="7">
        <v>0.1</v>
      </c>
    </row>
    <row r="6" spans="1:34" x14ac:dyDescent="0.2">
      <c r="A6" s="1" t="s">
        <v>17</v>
      </c>
      <c r="B6" s="3">
        <v>145</v>
      </c>
      <c r="C6" s="3">
        <v>146</v>
      </c>
      <c r="D6" s="3">
        <v>126</v>
      </c>
      <c r="E6" s="3">
        <v>115</v>
      </c>
      <c r="F6" s="3">
        <v>120</v>
      </c>
      <c r="G6" s="3">
        <v>130</v>
      </c>
      <c r="H6" s="3">
        <v>96</v>
      </c>
      <c r="I6" s="3">
        <v>114</v>
      </c>
      <c r="J6" s="3">
        <v>119</v>
      </c>
      <c r="K6" s="3">
        <v>104</v>
      </c>
      <c r="L6" s="3">
        <v>82</v>
      </c>
      <c r="M6" s="3">
        <v>81</v>
      </c>
      <c r="N6" s="3">
        <v>95</v>
      </c>
      <c r="O6" s="3"/>
      <c r="Q6" s="1">
        <v>622</v>
      </c>
      <c r="R6" s="3">
        <v>648</v>
      </c>
      <c r="S6" s="3">
        <v>507</v>
      </c>
      <c r="T6" s="3">
        <v>555</v>
      </c>
      <c r="U6" s="3">
        <f t="shared" ref="U6:U7" si="6">+SUM(B6:E6)</f>
        <v>532</v>
      </c>
      <c r="V6" s="3">
        <f t="shared" ref="V6:V7" si="7">+SUM(F6:I6)</f>
        <v>460</v>
      </c>
      <c r="W6" s="3">
        <v>386</v>
      </c>
      <c r="X6" s="3">
        <f t="shared" ref="X6:AC6" si="8">+W6*0.99</f>
        <v>382.14</v>
      </c>
      <c r="Y6" s="3">
        <f t="shared" si="8"/>
        <v>378.3186</v>
      </c>
      <c r="Z6" s="3">
        <f t="shared" si="8"/>
        <v>374.535414</v>
      </c>
      <c r="AA6" s="3">
        <f t="shared" si="8"/>
        <v>370.79005985999999</v>
      </c>
      <c r="AB6" s="3">
        <f t="shared" si="8"/>
        <v>367.08215926139997</v>
      </c>
      <c r="AC6" s="3">
        <f t="shared" si="8"/>
        <v>363.41133766878596</v>
      </c>
      <c r="AD6" s="3">
        <f t="shared" ref="AD6:AD7" si="9">+AC6*0.99</f>
        <v>359.77722429209808</v>
      </c>
      <c r="AE6" s="3">
        <f t="shared" ref="AE6:AE7" si="10">+AD6*0.99</f>
        <v>356.17945204917709</v>
      </c>
      <c r="AG6" s="2" t="s">
        <v>45</v>
      </c>
      <c r="AH6" s="4">
        <v>0.01</v>
      </c>
    </row>
    <row r="7" spans="1:34" x14ac:dyDescent="0.2">
      <c r="A7" s="1" t="s">
        <v>18</v>
      </c>
      <c r="B7" s="3">
        <v>159</v>
      </c>
      <c r="C7" s="3">
        <v>170</v>
      </c>
      <c r="D7" s="3">
        <v>179</v>
      </c>
      <c r="E7" s="3">
        <v>178</v>
      </c>
      <c r="F7" s="3">
        <v>162</v>
      </c>
      <c r="G7" s="3">
        <v>169</v>
      </c>
      <c r="H7" s="3">
        <v>163</v>
      </c>
      <c r="I7" s="3">
        <v>171</v>
      </c>
      <c r="J7" s="3">
        <v>147</v>
      </c>
      <c r="K7" s="3">
        <v>145</v>
      </c>
      <c r="L7" s="3">
        <v>146</v>
      </c>
      <c r="M7" s="3">
        <v>160</v>
      </c>
      <c r="N7" s="3">
        <v>136</v>
      </c>
      <c r="O7" s="3"/>
      <c r="Q7" s="1">
        <v>804</v>
      </c>
      <c r="R7" s="3">
        <v>889</v>
      </c>
      <c r="S7" s="3">
        <v>735</v>
      </c>
      <c r="T7" s="3">
        <v>657</v>
      </c>
      <c r="U7" s="3">
        <f t="shared" si="6"/>
        <v>686</v>
      </c>
      <c r="V7" s="3">
        <f t="shared" si="7"/>
        <v>665</v>
      </c>
      <c r="W7" s="3">
        <v>598</v>
      </c>
      <c r="X7" s="3">
        <f t="shared" ref="X7:AC7" si="11">+W7*0.99</f>
        <v>592.02</v>
      </c>
      <c r="Y7" s="3">
        <f t="shared" si="11"/>
        <v>586.09979999999996</v>
      </c>
      <c r="Z7" s="3">
        <f t="shared" si="11"/>
        <v>580.23880199999996</v>
      </c>
      <c r="AA7" s="3">
        <f t="shared" si="11"/>
        <v>574.43641398</v>
      </c>
      <c r="AB7" s="3">
        <f t="shared" si="11"/>
        <v>568.69204984019996</v>
      </c>
      <c r="AC7" s="3">
        <f t="shared" si="11"/>
        <v>563.0051293417979</v>
      </c>
      <c r="AD7" s="3">
        <f t="shared" si="9"/>
        <v>557.37507804837992</v>
      </c>
      <c r="AE7" s="3">
        <f t="shared" si="10"/>
        <v>551.80132726789611</v>
      </c>
      <c r="AG7" s="2" t="s">
        <v>58</v>
      </c>
      <c r="AH7" s="4">
        <v>0.09</v>
      </c>
    </row>
    <row r="8" spans="1:34" x14ac:dyDescent="0.2">
      <c r="B8" s="3"/>
      <c r="C8" s="3"/>
      <c r="D8" s="3"/>
      <c r="E8" s="3"/>
      <c r="F8" s="3"/>
      <c r="G8" s="3"/>
      <c r="H8" s="3"/>
      <c r="I8" s="3"/>
      <c r="J8" s="3"/>
      <c r="K8" s="3"/>
      <c r="L8" s="3"/>
      <c r="M8" s="3"/>
      <c r="N8" s="3"/>
      <c r="O8" s="3"/>
      <c r="R8" s="3"/>
      <c r="S8" s="3"/>
      <c r="T8" s="3"/>
      <c r="U8" s="3"/>
      <c r="V8" s="3"/>
      <c r="W8" s="3"/>
      <c r="X8" s="3"/>
      <c r="Y8" s="3"/>
      <c r="Z8" s="3"/>
      <c r="AA8" s="3"/>
      <c r="AB8" s="3"/>
      <c r="AC8" s="3"/>
      <c r="AD8" s="3"/>
      <c r="AE8" s="3"/>
      <c r="AG8" s="2" t="s">
        <v>46</v>
      </c>
      <c r="AH8" s="5">
        <f>+NPV(AH5,W25:DB25)</f>
        <v>170824.30804820353</v>
      </c>
    </row>
    <row r="9" spans="1:34" x14ac:dyDescent="0.2">
      <c r="A9" s="2" t="s">
        <v>50</v>
      </c>
      <c r="B9" s="6">
        <f>+B5+B6+B7</f>
        <v>4262</v>
      </c>
      <c r="C9" s="6">
        <f t="shared" ref="C9:J9" si="12">+C5+C6+C7</f>
        <v>4386</v>
      </c>
      <c r="D9" s="6">
        <f t="shared" si="12"/>
        <v>4433</v>
      </c>
      <c r="E9" s="6">
        <f t="shared" si="12"/>
        <v>4525</v>
      </c>
      <c r="F9" s="6">
        <f t="shared" si="12"/>
        <v>4655</v>
      </c>
      <c r="G9" s="6">
        <f t="shared" si="12"/>
        <v>4816</v>
      </c>
      <c r="H9" s="6">
        <f t="shared" si="12"/>
        <v>4890</v>
      </c>
      <c r="I9" s="6">
        <f t="shared" si="12"/>
        <v>5048</v>
      </c>
      <c r="J9" s="6">
        <f t="shared" si="12"/>
        <v>5182</v>
      </c>
      <c r="K9" s="6">
        <f t="shared" ref="K9:N9" si="13">+K5+K6+K7</f>
        <v>5309</v>
      </c>
      <c r="L9" s="6">
        <f t="shared" si="13"/>
        <v>5408</v>
      </c>
      <c r="M9" s="6">
        <f t="shared" si="13"/>
        <v>5606</v>
      </c>
      <c r="N9" s="6">
        <f t="shared" si="13"/>
        <v>5714</v>
      </c>
      <c r="O9" s="6">
        <v>5800</v>
      </c>
      <c r="Q9" s="6">
        <f t="shared" ref="Q9:AC9" si="14">+Q5+Q6+Q7</f>
        <v>9030</v>
      </c>
      <c r="R9" s="6">
        <f t="shared" si="14"/>
        <v>11171</v>
      </c>
      <c r="S9" s="6">
        <f t="shared" si="14"/>
        <v>12868</v>
      </c>
      <c r="T9" s="6">
        <f t="shared" si="14"/>
        <v>15785</v>
      </c>
      <c r="U9" s="6">
        <f t="shared" si="14"/>
        <v>17606</v>
      </c>
      <c r="V9" s="6">
        <f t="shared" si="14"/>
        <v>19409</v>
      </c>
      <c r="W9" s="6">
        <f t="shared" si="14"/>
        <v>21505</v>
      </c>
      <c r="X9" s="6">
        <f t="shared" si="14"/>
        <v>23752.47</v>
      </c>
      <c r="Y9" s="6">
        <f t="shared" si="14"/>
        <v>26248.342500000002</v>
      </c>
      <c r="Z9" s="6">
        <f t="shared" si="14"/>
        <v>29019.929967000007</v>
      </c>
      <c r="AA9" s="6">
        <f t="shared" si="14"/>
        <v>32097.549357450007</v>
      </c>
      <c r="AB9" s="6">
        <f t="shared" si="14"/>
        <v>35514.852609908718</v>
      </c>
      <c r="AC9" s="6">
        <f t="shared" si="14"/>
        <v>39309.193491906488</v>
      </c>
      <c r="AD9" s="6">
        <f t="shared" ref="AD9:AE9" si="15">+AD5+AD6+AD7</f>
        <v>43522.034799974928</v>
      </c>
      <c r="AE9" s="6">
        <f t="shared" si="15"/>
        <v>48199.400351691307</v>
      </c>
      <c r="AG9" s="2" t="s">
        <v>47</v>
      </c>
      <c r="AH9" s="3">
        <f>+main!L6-main!L7</f>
        <v>2258</v>
      </c>
    </row>
    <row r="10" spans="1:34" x14ac:dyDescent="0.2">
      <c r="A10" s="1" t="s">
        <v>19</v>
      </c>
      <c r="B10" s="3">
        <v>393</v>
      </c>
      <c r="C10" s="3">
        <v>410</v>
      </c>
      <c r="D10" s="3">
        <v>413</v>
      </c>
      <c r="E10" s="3">
        <v>430</v>
      </c>
      <c r="F10" s="3">
        <v>434</v>
      </c>
      <c r="G10" s="3">
        <v>436</v>
      </c>
      <c r="H10" s="3">
        <v>447</v>
      </c>
      <c r="I10" s="3">
        <v>505</v>
      </c>
      <c r="J10" s="3">
        <v>455</v>
      </c>
      <c r="K10" s="3">
        <v>456</v>
      </c>
      <c r="L10" s="3">
        <v>413</v>
      </c>
      <c r="M10" s="3">
        <v>475</v>
      </c>
      <c r="N10" s="3">
        <v>490</v>
      </c>
      <c r="O10" s="3"/>
      <c r="Q10" s="1">
        <v>574</v>
      </c>
      <c r="R10" s="3">
        <v>926</v>
      </c>
      <c r="S10" s="3">
        <v>1108</v>
      </c>
      <c r="T10" s="3">
        <v>1374</v>
      </c>
      <c r="U10" s="3">
        <f t="shared" ref="U10:U12" si="16">+SUM(B10:E10)</f>
        <v>1646</v>
      </c>
      <c r="V10" s="3">
        <f t="shared" ref="V10:V11" si="17">+SUM(F10:I10)</f>
        <v>1822</v>
      </c>
      <c r="W10" s="3">
        <v>1799</v>
      </c>
      <c r="X10" s="3">
        <f t="shared" ref="X10:AC10" si="18">+W10*1.105</f>
        <v>1987.895</v>
      </c>
      <c r="Y10" s="3">
        <f t="shared" si="18"/>
        <v>2196.623975</v>
      </c>
      <c r="Z10" s="3">
        <f t="shared" si="18"/>
        <v>2427.269492375</v>
      </c>
      <c r="AA10" s="3">
        <f t="shared" si="18"/>
        <v>2682.1327890743751</v>
      </c>
      <c r="AB10" s="3">
        <f t="shared" si="18"/>
        <v>2963.7567319271843</v>
      </c>
      <c r="AC10" s="3">
        <f t="shared" si="18"/>
        <v>3274.9511887795388</v>
      </c>
      <c r="AD10" s="3">
        <f t="shared" ref="AD10" si="19">+AC10*1.105</f>
        <v>3618.8210636013905</v>
      </c>
      <c r="AE10" s="3">
        <f t="shared" ref="AE10" si="20">+AD10*1.105</f>
        <v>3998.7972752795363</v>
      </c>
      <c r="AG10" s="2" t="s">
        <v>6</v>
      </c>
      <c r="AH10" s="3">
        <f>+AH8+AH9</f>
        <v>173082.30804820353</v>
      </c>
    </row>
    <row r="11" spans="1:34" x14ac:dyDescent="0.2">
      <c r="A11" s="1" t="s">
        <v>20</v>
      </c>
      <c r="B11" s="3">
        <v>10</v>
      </c>
      <c r="C11" s="3">
        <v>9</v>
      </c>
      <c r="D11" s="3">
        <v>8</v>
      </c>
      <c r="E11" s="3">
        <v>8</v>
      </c>
      <c r="F11" s="3">
        <v>8</v>
      </c>
      <c r="G11" s="3">
        <v>8</v>
      </c>
      <c r="H11" s="3">
        <v>7</v>
      </c>
      <c r="I11" s="3">
        <v>6</v>
      </c>
      <c r="J11" s="3">
        <v>5</v>
      </c>
      <c r="K11" s="3">
        <v>8</v>
      </c>
      <c r="L11" s="3">
        <v>6</v>
      </c>
      <c r="M11" s="3">
        <v>6</v>
      </c>
      <c r="N11" s="3">
        <v>6</v>
      </c>
      <c r="O11" s="3"/>
      <c r="Q11" s="1">
        <v>46</v>
      </c>
      <c r="R11" s="3">
        <v>40</v>
      </c>
      <c r="S11" s="3">
        <v>36</v>
      </c>
      <c r="T11" s="3">
        <v>41</v>
      </c>
      <c r="U11" s="3">
        <f t="shared" si="16"/>
        <v>35</v>
      </c>
      <c r="V11" s="3">
        <f t="shared" si="17"/>
        <v>29</v>
      </c>
      <c r="W11" s="3">
        <v>25</v>
      </c>
      <c r="X11" s="3">
        <f t="shared" ref="X11:AC11" si="21">+W11*0.9</f>
        <v>22.5</v>
      </c>
      <c r="Y11" s="3">
        <f t="shared" si="21"/>
        <v>20.25</v>
      </c>
      <c r="Z11" s="3">
        <f t="shared" si="21"/>
        <v>18.225000000000001</v>
      </c>
      <c r="AA11" s="3">
        <f t="shared" si="21"/>
        <v>16.402500000000003</v>
      </c>
      <c r="AB11" s="3">
        <f t="shared" si="21"/>
        <v>14.762250000000003</v>
      </c>
      <c r="AC11" s="3">
        <f t="shared" si="21"/>
        <v>13.286025000000004</v>
      </c>
      <c r="AD11" s="3">
        <f t="shared" ref="AD11" si="22">+AC11*0.9</f>
        <v>11.957422500000003</v>
      </c>
      <c r="AE11" s="3">
        <f t="shared" ref="AE11" si="23">+AD11*0.9</f>
        <v>10.761680250000003</v>
      </c>
      <c r="AG11" s="2" t="s">
        <v>1</v>
      </c>
      <c r="AH11" s="5">
        <f>+AH10/main!L4</f>
        <v>393.1901591281316</v>
      </c>
    </row>
    <row r="12" spans="1:34" x14ac:dyDescent="0.2">
      <c r="A12" s="1" t="s">
        <v>21</v>
      </c>
      <c r="B12" s="3">
        <v>109</v>
      </c>
      <c r="C12" s="3">
        <v>120</v>
      </c>
      <c r="D12" s="3">
        <v>125</v>
      </c>
      <c r="E12" s="3">
        <v>130</v>
      </c>
      <c r="F12" s="3">
        <v>126</v>
      </c>
      <c r="G12" s="3">
        <v>128</v>
      </c>
      <c r="H12" s="3">
        <v>126</v>
      </c>
      <c r="I12" s="3">
        <v>123</v>
      </c>
      <c r="J12" s="3">
        <v>130</v>
      </c>
      <c r="K12" s="3">
        <v>134</v>
      </c>
      <c r="L12" s="3">
        <v>135</v>
      </c>
      <c r="M12" s="3">
        <v>135</v>
      </c>
      <c r="N12" s="3">
        <v>126</v>
      </c>
      <c r="O12" s="3"/>
      <c r="Q12" s="1">
        <v>575</v>
      </c>
      <c r="R12" s="3">
        <v>707</v>
      </c>
      <c r="S12" s="3">
        <v>578</v>
      </c>
      <c r="T12" s="3">
        <v>450</v>
      </c>
      <c r="U12" s="3">
        <f t="shared" si="16"/>
        <v>484</v>
      </c>
      <c r="V12" s="3">
        <f>+SUM(F12:I12)</f>
        <v>503</v>
      </c>
      <c r="W12" s="3">
        <v>534</v>
      </c>
      <c r="X12" s="3">
        <f t="shared" ref="X12:AC12" si="24">+W12*0.99</f>
        <v>528.66</v>
      </c>
      <c r="Y12" s="3">
        <f t="shared" si="24"/>
        <v>523.37339999999995</v>
      </c>
      <c r="Z12" s="3">
        <f t="shared" si="24"/>
        <v>518.13966599999992</v>
      </c>
      <c r="AA12" s="3">
        <f t="shared" si="24"/>
        <v>512.9582693399999</v>
      </c>
      <c r="AB12" s="3">
        <f t="shared" si="24"/>
        <v>507.82868664659992</v>
      </c>
      <c r="AC12" s="3">
        <f t="shared" si="24"/>
        <v>502.75039978013393</v>
      </c>
      <c r="AD12" s="3">
        <f t="shared" ref="AD12" si="25">+AC12*0.99</f>
        <v>497.72289578233261</v>
      </c>
      <c r="AE12" s="3">
        <f t="shared" ref="AE12" si="26">+AD12*0.99</f>
        <v>492.74566682450927</v>
      </c>
    </row>
    <row r="13" spans="1:34" x14ac:dyDescent="0.2">
      <c r="A13" s="1" t="s">
        <v>22</v>
      </c>
      <c r="B13" s="3">
        <f>+B10+B11+B12</f>
        <v>512</v>
      </c>
      <c r="C13" s="3">
        <f t="shared" ref="C13:J13" si="27">+C10+C11+C12</f>
        <v>539</v>
      </c>
      <c r="D13" s="3">
        <f t="shared" si="27"/>
        <v>546</v>
      </c>
      <c r="E13" s="3">
        <f t="shared" si="27"/>
        <v>568</v>
      </c>
      <c r="F13" s="3">
        <f t="shared" si="27"/>
        <v>568</v>
      </c>
      <c r="G13" s="3">
        <f t="shared" si="27"/>
        <v>572</v>
      </c>
      <c r="H13" s="3">
        <f t="shared" si="27"/>
        <v>580</v>
      </c>
      <c r="I13" s="3">
        <f t="shared" si="27"/>
        <v>634</v>
      </c>
      <c r="J13" s="3">
        <f t="shared" si="27"/>
        <v>590</v>
      </c>
      <c r="K13" s="3">
        <f t="shared" ref="K13:M13" si="28">+K10+K11+K12</f>
        <v>598</v>
      </c>
      <c r="L13" s="3">
        <f t="shared" si="28"/>
        <v>554</v>
      </c>
      <c r="M13" s="3">
        <f t="shared" si="28"/>
        <v>616</v>
      </c>
      <c r="N13" s="3">
        <f t="shared" ref="N13" si="29">+N10+N11+N12</f>
        <v>622</v>
      </c>
      <c r="O13" s="3"/>
      <c r="Q13" s="3">
        <f t="shared" ref="Q13" si="30">+Q10+Q11+Q12</f>
        <v>1195</v>
      </c>
      <c r="R13" s="3">
        <f t="shared" ref="R13:S13" si="31">+R10+R11+R12</f>
        <v>1673</v>
      </c>
      <c r="S13" s="3">
        <f t="shared" si="31"/>
        <v>1722</v>
      </c>
      <c r="T13" s="3">
        <f t="shared" ref="T13:AC13" si="32">+T10+T11+T12</f>
        <v>1865</v>
      </c>
      <c r="U13" s="3">
        <f t="shared" si="32"/>
        <v>2165</v>
      </c>
      <c r="V13" s="3">
        <f t="shared" si="32"/>
        <v>2354</v>
      </c>
      <c r="W13" s="3">
        <f t="shared" si="32"/>
        <v>2358</v>
      </c>
      <c r="X13" s="3">
        <f t="shared" si="32"/>
        <v>2539.0549999999998</v>
      </c>
      <c r="Y13" s="3">
        <f t="shared" si="32"/>
        <v>2740.2473749999999</v>
      </c>
      <c r="Z13" s="3">
        <f t="shared" si="32"/>
        <v>2963.634158375</v>
      </c>
      <c r="AA13" s="3">
        <f t="shared" si="32"/>
        <v>3211.493558414375</v>
      </c>
      <c r="AB13" s="3">
        <f t="shared" si="32"/>
        <v>3486.3476685737846</v>
      </c>
      <c r="AC13" s="3">
        <f t="shared" si="32"/>
        <v>3790.9876135596728</v>
      </c>
      <c r="AD13" s="3">
        <f t="shared" ref="AD13:AE13" si="33">+AD10+AD11+AD12</f>
        <v>4128.5013818837233</v>
      </c>
      <c r="AE13" s="3">
        <f t="shared" si="33"/>
        <v>4502.3046223540459</v>
      </c>
    </row>
    <row r="14" spans="1:34" x14ac:dyDescent="0.2">
      <c r="A14" s="2" t="s">
        <v>23</v>
      </c>
      <c r="B14" s="6">
        <f>+B9-B13</f>
        <v>3750</v>
      </c>
      <c r="C14" s="6">
        <f t="shared" ref="C14:J14" si="34">+C9-C13</f>
        <v>3847</v>
      </c>
      <c r="D14" s="6">
        <f t="shared" si="34"/>
        <v>3887</v>
      </c>
      <c r="E14" s="6">
        <f t="shared" si="34"/>
        <v>3957</v>
      </c>
      <c r="F14" s="6">
        <f t="shared" si="34"/>
        <v>4087</v>
      </c>
      <c r="G14" s="6">
        <f t="shared" si="34"/>
        <v>4244</v>
      </c>
      <c r="H14" s="6">
        <f t="shared" si="34"/>
        <v>4310</v>
      </c>
      <c r="I14" s="6">
        <f t="shared" si="34"/>
        <v>4414</v>
      </c>
      <c r="J14" s="6">
        <f t="shared" si="34"/>
        <v>4592</v>
      </c>
      <c r="K14" s="6">
        <f t="shared" ref="K14:M14" si="35">+K9-K13</f>
        <v>4711</v>
      </c>
      <c r="L14" s="6">
        <f t="shared" si="35"/>
        <v>4854</v>
      </c>
      <c r="M14" s="6">
        <f t="shared" si="35"/>
        <v>4990</v>
      </c>
      <c r="N14" s="6">
        <f t="shared" ref="N14" si="36">+N9-N13</f>
        <v>5092</v>
      </c>
      <c r="O14" s="3"/>
      <c r="Q14" s="6">
        <f t="shared" ref="Q14" si="37">+Q9-Q13</f>
        <v>7835</v>
      </c>
      <c r="R14" s="6">
        <f t="shared" ref="R14:S14" si="38">+R9-R13</f>
        <v>9498</v>
      </c>
      <c r="S14" s="6">
        <f t="shared" si="38"/>
        <v>11146</v>
      </c>
      <c r="T14" s="6">
        <f t="shared" ref="T14:AC14" si="39">+T9-T13</f>
        <v>13920</v>
      </c>
      <c r="U14" s="6">
        <f t="shared" si="39"/>
        <v>15441</v>
      </c>
      <c r="V14" s="6">
        <f t="shared" si="39"/>
        <v>17055</v>
      </c>
      <c r="W14" s="6">
        <f t="shared" si="39"/>
        <v>19147</v>
      </c>
      <c r="X14" s="6">
        <f t="shared" si="39"/>
        <v>21213.415000000001</v>
      </c>
      <c r="Y14" s="6">
        <f t="shared" si="39"/>
        <v>23508.095125000003</v>
      </c>
      <c r="Z14" s="6">
        <f t="shared" si="39"/>
        <v>26056.295808625007</v>
      </c>
      <c r="AA14" s="6">
        <f t="shared" si="39"/>
        <v>28886.055799035632</v>
      </c>
      <c r="AB14" s="6">
        <f t="shared" si="39"/>
        <v>32028.504941334933</v>
      </c>
      <c r="AC14" s="6">
        <f t="shared" si="39"/>
        <v>35518.205878346816</v>
      </c>
      <c r="AD14" s="6">
        <f t="shared" ref="AD14:AE14" si="40">+AD9-AD13</f>
        <v>39393.533418091203</v>
      </c>
      <c r="AE14" s="6">
        <f t="shared" si="40"/>
        <v>43697.095729337263</v>
      </c>
    </row>
    <row r="15" spans="1:34" x14ac:dyDescent="0.2">
      <c r="A15" s="1" t="s">
        <v>24</v>
      </c>
      <c r="B15" s="3">
        <v>701</v>
      </c>
      <c r="C15" s="3">
        <v>738</v>
      </c>
      <c r="D15" s="3">
        <v>775</v>
      </c>
      <c r="E15" s="3">
        <v>773</v>
      </c>
      <c r="F15" s="3">
        <v>827</v>
      </c>
      <c r="G15" s="3">
        <v>876</v>
      </c>
      <c r="H15" s="3">
        <v>881</v>
      </c>
      <c r="I15" s="3">
        <v>889</v>
      </c>
      <c r="J15" s="3">
        <v>939</v>
      </c>
      <c r="K15" s="3">
        <v>984</v>
      </c>
      <c r="L15" s="3">
        <v>1022</v>
      </c>
      <c r="M15" s="3">
        <v>999</v>
      </c>
      <c r="N15" s="3">
        <v>1026</v>
      </c>
      <c r="O15" s="3"/>
      <c r="Q15" s="1">
        <v>1538</v>
      </c>
      <c r="R15" s="3">
        <v>1930</v>
      </c>
      <c r="S15" s="3">
        <v>2188</v>
      </c>
      <c r="T15" s="3">
        <v>2540</v>
      </c>
      <c r="U15" s="3">
        <f t="shared" ref="U15:U17" si="41">+SUM(B15:E15)</f>
        <v>2987</v>
      </c>
      <c r="V15" s="3">
        <f t="shared" ref="V15:V17" si="42">+SUM(F15:I15)</f>
        <v>3473</v>
      </c>
      <c r="W15" s="3">
        <v>3944</v>
      </c>
      <c r="X15" s="3">
        <f t="shared" ref="X15:AC15" si="43">+W15*1.1</f>
        <v>4338.4000000000005</v>
      </c>
      <c r="Y15" s="3">
        <f t="shared" si="43"/>
        <v>4772.2400000000007</v>
      </c>
      <c r="Z15" s="3">
        <f t="shared" si="43"/>
        <v>5249.4640000000009</v>
      </c>
      <c r="AA15" s="3">
        <f t="shared" si="43"/>
        <v>5774.4104000000016</v>
      </c>
      <c r="AB15" s="3">
        <f t="shared" si="43"/>
        <v>6351.8514400000022</v>
      </c>
      <c r="AC15" s="3">
        <f t="shared" si="43"/>
        <v>6987.0365840000031</v>
      </c>
      <c r="AD15" s="3">
        <f t="shared" ref="AD15" si="44">+AC15*1.1</f>
        <v>7685.7402424000038</v>
      </c>
      <c r="AE15" s="3">
        <f t="shared" ref="AE15" si="45">+AD15*1.1</f>
        <v>8454.3142666400054</v>
      </c>
    </row>
    <row r="16" spans="1:34" x14ac:dyDescent="0.2">
      <c r="A16" s="1" t="s">
        <v>25</v>
      </c>
      <c r="B16" s="3">
        <v>1158</v>
      </c>
      <c r="C16" s="3">
        <v>1247</v>
      </c>
      <c r="D16" s="3">
        <v>1266</v>
      </c>
      <c r="E16" s="3">
        <v>1297</v>
      </c>
      <c r="F16" s="3">
        <v>1301</v>
      </c>
      <c r="G16" s="3">
        <v>1345</v>
      </c>
      <c r="H16" s="3">
        <v>1337</v>
      </c>
      <c r="I16" s="3">
        <v>1368</v>
      </c>
      <c r="J16" s="3">
        <v>1352</v>
      </c>
      <c r="K16" s="3">
        <v>1445</v>
      </c>
      <c r="L16" s="3">
        <v>1431</v>
      </c>
      <c r="M16" s="3">
        <v>1536</v>
      </c>
      <c r="N16" s="3">
        <v>1495</v>
      </c>
      <c r="O16" s="3"/>
      <c r="Q16" s="1">
        <v>2621</v>
      </c>
      <c r="R16" s="3">
        <v>3244</v>
      </c>
      <c r="S16" s="3">
        <v>3591</v>
      </c>
      <c r="T16" s="3">
        <v>4321</v>
      </c>
      <c r="U16" s="3">
        <f t="shared" si="41"/>
        <v>4968</v>
      </c>
      <c r="V16" s="3">
        <f t="shared" si="42"/>
        <v>5351</v>
      </c>
      <c r="W16" s="3">
        <v>5764</v>
      </c>
      <c r="X16" s="3">
        <f t="shared" ref="X16:AC16" si="46">+W16*1.08</f>
        <v>6225.1200000000008</v>
      </c>
      <c r="Y16" s="3">
        <f t="shared" si="46"/>
        <v>6723.1296000000011</v>
      </c>
      <c r="Z16" s="3">
        <f t="shared" si="46"/>
        <v>7260.9799680000015</v>
      </c>
      <c r="AA16" s="3">
        <f t="shared" si="46"/>
        <v>7841.8583654400018</v>
      </c>
      <c r="AB16" s="3">
        <f t="shared" si="46"/>
        <v>8469.2070346752025</v>
      </c>
      <c r="AC16" s="3">
        <f t="shared" si="46"/>
        <v>9146.74359744922</v>
      </c>
      <c r="AD16" s="3">
        <f t="shared" ref="AD16" si="47">+AC16*1.08</f>
        <v>9878.4830852451578</v>
      </c>
      <c r="AE16" s="3">
        <f t="shared" ref="AE16" si="48">+AD16*1.08</f>
        <v>10668.761732064771</v>
      </c>
    </row>
    <row r="17" spans="1:106" x14ac:dyDescent="0.2">
      <c r="A17" s="1" t="s">
        <v>26</v>
      </c>
      <c r="B17" s="3">
        <v>269</v>
      </c>
      <c r="C17" s="3">
        <v>291</v>
      </c>
      <c r="D17" s="3">
        <v>319</v>
      </c>
      <c r="E17" s="3">
        <v>340</v>
      </c>
      <c r="F17" s="3">
        <v>331</v>
      </c>
      <c r="G17" s="3">
        <v>357</v>
      </c>
      <c r="H17" s="3">
        <v>353</v>
      </c>
      <c r="I17" s="3">
        <v>372</v>
      </c>
      <c r="J17" s="3">
        <v>352</v>
      </c>
      <c r="K17" s="3">
        <v>355</v>
      </c>
      <c r="L17" s="3">
        <v>366</v>
      </c>
      <c r="M17" s="3">
        <f>456+42</f>
        <v>498</v>
      </c>
      <c r="N17" s="3">
        <f>367+41</f>
        <v>408</v>
      </c>
      <c r="O17" s="3"/>
      <c r="Q17" s="1">
        <f>745+91</f>
        <v>836</v>
      </c>
      <c r="R17" s="3">
        <f>881+175</f>
        <v>1056</v>
      </c>
      <c r="S17" s="3">
        <f>968+162</f>
        <v>1130</v>
      </c>
      <c r="T17" s="3">
        <v>1085</v>
      </c>
      <c r="U17" s="3">
        <f t="shared" si="41"/>
        <v>1219</v>
      </c>
      <c r="V17" s="3">
        <f t="shared" si="42"/>
        <v>1413</v>
      </c>
      <c r="W17" s="3">
        <f>1529+1000+169</f>
        <v>2698</v>
      </c>
      <c r="X17" s="3">
        <f t="shared" ref="X17:AC17" si="49">+W17*1.05</f>
        <v>2832.9</v>
      </c>
      <c r="Y17" s="3">
        <f t="shared" si="49"/>
        <v>2974.5450000000001</v>
      </c>
      <c r="Z17" s="3">
        <f t="shared" si="49"/>
        <v>3123.27225</v>
      </c>
      <c r="AA17" s="3">
        <f t="shared" si="49"/>
        <v>3279.4358625</v>
      </c>
      <c r="AB17" s="3">
        <f t="shared" si="49"/>
        <v>3443.4076556250002</v>
      </c>
      <c r="AC17" s="3">
        <f t="shared" si="49"/>
        <v>3615.5780384062505</v>
      </c>
      <c r="AD17" s="3">
        <f t="shared" ref="AD17" si="50">+AC17*1.05</f>
        <v>3796.3569403265633</v>
      </c>
      <c r="AE17" s="3">
        <f t="shared" ref="AE17" si="51">+AD17*1.05</f>
        <v>3986.1747873428917</v>
      </c>
    </row>
    <row r="18" spans="1:106" x14ac:dyDescent="0.2">
      <c r="A18" s="1" t="s">
        <v>27</v>
      </c>
      <c r="B18" s="3">
        <f>+B15+B16+B17</f>
        <v>2128</v>
      </c>
      <c r="C18" s="3">
        <f t="shared" ref="C18:J18" si="52">+C15+C16+C17</f>
        <v>2276</v>
      </c>
      <c r="D18" s="3">
        <f>+D15+D16+D17</f>
        <v>2360</v>
      </c>
      <c r="E18" s="3">
        <f t="shared" si="52"/>
        <v>2410</v>
      </c>
      <c r="F18" s="3">
        <f t="shared" si="52"/>
        <v>2459</v>
      </c>
      <c r="G18" s="3">
        <f t="shared" si="52"/>
        <v>2578</v>
      </c>
      <c r="H18" s="3">
        <f t="shared" si="52"/>
        <v>2571</v>
      </c>
      <c r="I18" s="3">
        <f t="shared" si="52"/>
        <v>2629</v>
      </c>
      <c r="J18" s="3">
        <f t="shared" si="52"/>
        <v>2643</v>
      </c>
      <c r="K18" s="3">
        <f t="shared" ref="K18" si="53">+K15+K16+K17</f>
        <v>2784</v>
      </c>
      <c r="L18" s="3">
        <f>+L15+L16+L17</f>
        <v>2819</v>
      </c>
      <c r="M18" s="3">
        <f t="shared" ref="M18:N18" si="54">+M15+M16+M17</f>
        <v>3033</v>
      </c>
      <c r="N18" s="3">
        <f t="shared" si="54"/>
        <v>2929</v>
      </c>
      <c r="O18" s="3"/>
      <c r="Q18" s="3">
        <f t="shared" ref="Q18" si="55">+Q15+Q16+Q17</f>
        <v>4995</v>
      </c>
      <c r="R18" s="3">
        <f t="shared" ref="R18:S18" si="56">+R15+R16+R17</f>
        <v>6230</v>
      </c>
      <c r="S18" s="3">
        <f t="shared" si="56"/>
        <v>6909</v>
      </c>
      <c r="T18" s="3">
        <f t="shared" ref="T18:AC18" si="57">+T15+T16+T17</f>
        <v>7946</v>
      </c>
      <c r="U18" s="3">
        <f t="shared" si="57"/>
        <v>9174</v>
      </c>
      <c r="V18" s="3">
        <f t="shared" si="57"/>
        <v>10237</v>
      </c>
      <c r="W18" s="3">
        <f>+W15+W16+W17</f>
        <v>12406</v>
      </c>
      <c r="X18" s="3">
        <f t="shared" si="57"/>
        <v>13396.42</v>
      </c>
      <c r="Y18" s="3">
        <f t="shared" si="57"/>
        <v>14469.914600000002</v>
      </c>
      <c r="Z18" s="3">
        <f t="shared" si="57"/>
        <v>15633.716218000003</v>
      </c>
      <c r="AA18" s="3">
        <f t="shared" si="57"/>
        <v>16895.704627940002</v>
      </c>
      <c r="AB18" s="3">
        <f t="shared" si="57"/>
        <v>18264.466130300207</v>
      </c>
      <c r="AC18" s="3">
        <f t="shared" si="57"/>
        <v>19749.358219855472</v>
      </c>
      <c r="AD18" s="3">
        <f t="shared" ref="AD18:AE18" si="58">+AD15+AD16+AD17</f>
        <v>21360.580267971727</v>
      </c>
      <c r="AE18" s="3">
        <f t="shared" si="58"/>
        <v>23109.250786047669</v>
      </c>
    </row>
    <row r="19" spans="1:106" x14ac:dyDescent="0.2">
      <c r="A19" s="2" t="s">
        <v>28</v>
      </c>
      <c r="B19" s="6">
        <f>+B14-B18</f>
        <v>1622</v>
      </c>
      <c r="C19" s="6">
        <f t="shared" ref="C19:J19" si="59">+C14-C18</f>
        <v>1571</v>
      </c>
      <c r="D19" s="6">
        <f t="shared" si="59"/>
        <v>1527</v>
      </c>
      <c r="E19" s="6">
        <f t="shared" si="59"/>
        <v>1547</v>
      </c>
      <c r="F19" s="6">
        <f t="shared" si="59"/>
        <v>1628</v>
      </c>
      <c r="G19" s="6">
        <f t="shared" si="59"/>
        <v>1666</v>
      </c>
      <c r="H19" s="6">
        <f t="shared" si="59"/>
        <v>1739</v>
      </c>
      <c r="I19" s="6">
        <f t="shared" si="59"/>
        <v>1785</v>
      </c>
      <c r="J19" s="6">
        <f t="shared" si="59"/>
        <v>1949</v>
      </c>
      <c r="K19" s="6">
        <f t="shared" ref="K19:L19" si="60">+K14-K18</f>
        <v>1927</v>
      </c>
      <c r="L19" s="6">
        <f t="shared" si="60"/>
        <v>2035</v>
      </c>
      <c r="M19" s="6">
        <f t="shared" ref="M19:N19" si="61">+M14-M18</f>
        <v>1957</v>
      </c>
      <c r="N19" s="6">
        <f t="shared" si="61"/>
        <v>2163</v>
      </c>
      <c r="O19" s="3"/>
      <c r="Q19" s="6">
        <f t="shared" ref="Q19" si="62">+Q14-Q18</f>
        <v>2840</v>
      </c>
      <c r="R19" s="6">
        <f t="shared" ref="R19:S19" si="63">+R14-R18</f>
        <v>3268</v>
      </c>
      <c r="S19" s="6">
        <f t="shared" si="63"/>
        <v>4237</v>
      </c>
      <c r="T19" s="6">
        <f t="shared" ref="T19:AC19" si="64">+T14-T18</f>
        <v>5974</v>
      </c>
      <c r="U19" s="6">
        <f t="shared" si="64"/>
        <v>6267</v>
      </c>
      <c r="V19" s="6">
        <f t="shared" si="64"/>
        <v>6818</v>
      </c>
      <c r="W19" s="6">
        <f t="shared" si="64"/>
        <v>6741</v>
      </c>
      <c r="X19" s="6">
        <f t="shared" si="64"/>
        <v>7816.9950000000008</v>
      </c>
      <c r="Y19" s="6">
        <f t="shared" si="64"/>
        <v>9038.1805250000016</v>
      </c>
      <c r="Z19" s="6">
        <f t="shared" si="64"/>
        <v>10422.579590625004</v>
      </c>
      <c r="AA19" s="6">
        <f t="shared" si="64"/>
        <v>11990.35117109563</v>
      </c>
      <c r="AB19" s="6">
        <f t="shared" si="64"/>
        <v>13764.038811034727</v>
      </c>
      <c r="AC19" s="6">
        <f t="shared" si="64"/>
        <v>15768.847658491344</v>
      </c>
      <c r="AD19" s="6">
        <f t="shared" ref="AD19:AE19" si="65">+AD14-AD18</f>
        <v>18032.953150119476</v>
      </c>
      <c r="AE19" s="6">
        <f t="shared" si="65"/>
        <v>20587.844943289594</v>
      </c>
    </row>
    <row r="20" spans="1:106" x14ac:dyDescent="0.2">
      <c r="A20" s="1" t="s">
        <v>29</v>
      </c>
      <c r="B20" s="3">
        <v>28</v>
      </c>
      <c r="C20" s="3">
        <v>28</v>
      </c>
      <c r="D20" s="3">
        <v>28</v>
      </c>
      <c r="E20" s="3">
        <v>28</v>
      </c>
      <c r="F20" s="3">
        <v>32</v>
      </c>
      <c r="G20" s="3">
        <v>26</v>
      </c>
      <c r="H20" s="3">
        <v>27</v>
      </c>
      <c r="I20" s="3">
        <v>28</v>
      </c>
      <c r="J20" s="3">
        <v>27</v>
      </c>
      <c r="K20" s="3">
        <v>41</v>
      </c>
      <c r="L20" s="3">
        <v>51</v>
      </c>
      <c r="M20" s="3">
        <v>50</v>
      </c>
      <c r="N20" s="3">
        <v>62</v>
      </c>
      <c r="O20" s="3"/>
      <c r="Q20" s="1">
        <v>89</v>
      </c>
      <c r="R20" s="3">
        <v>157</v>
      </c>
      <c r="S20" s="3">
        <v>116</v>
      </c>
      <c r="T20" s="3">
        <v>113</v>
      </c>
      <c r="U20" s="3">
        <f t="shared" ref="U20:U22" si="66">+SUM(B20:E20)</f>
        <v>112</v>
      </c>
      <c r="V20" s="3">
        <f t="shared" ref="V20:V22" si="67">+SUM(F20:I20)</f>
        <v>113</v>
      </c>
      <c r="W20" s="3">
        <v>169</v>
      </c>
      <c r="X20" s="3">
        <f t="shared" ref="X20:AC20" si="68">+W20*0.99</f>
        <v>167.31</v>
      </c>
      <c r="Y20" s="3">
        <f t="shared" si="68"/>
        <v>165.6369</v>
      </c>
      <c r="Z20" s="3">
        <f t="shared" si="68"/>
        <v>163.98053099999998</v>
      </c>
      <c r="AA20" s="3">
        <f t="shared" si="68"/>
        <v>162.34072568999997</v>
      </c>
      <c r="AB20" s="3">
        <f t="shared" si="68"/>
        <v>160.71731843309996</v>
      </c>
      <c r="AC20" s="3">
        <f t="shared" si="68"/>
        <v>159.11014524876896</v>
      </c>
      <c r="AD20" s="3">
        <f t="shared" ref="AD20" si="69">+AC20*0.99</f>
        <v>157.51904379628127</v>
      </c>
      <c r="AE20" s="3">
        <f t="shared" ref="AE20" si="70">+AD20*0.99</f>
        <v>155.94385335831845</v>
      </c>
    </row>
    <row r="21" spans="1:106" x14ac:dyDescent="0.2">
      <c r="A21" s="1" t="s">
        <v>30</v>
      </c>
      <c r="B21" s="3">
        <v>-9</v>
      </c>
      <c r="C21" s="3">
        <v>-8</v>
      </c>
      <c r="D21" s="3">
        <v>-6</v>
      </c>
      <c r="E21" s="3">
        <v>4</v>
      </c>
      <c r="F21" s="3">
        <v>1</v>
      </c>
      <c r="G21" s="3">
        <v>5</v>
      </c>
      <c r="H21" s="3">
        <v>6</v>
      </c>
      <c r="I21" s="3">
        <v>4</v>
      </c>
      <c r="J21" s="3">
        <v>18</v>
      </c>
      <c r="K21" s="3">
        <v>4</v>
      </c>
      <c r="L21" s="3">
        <v>12</v>
      </c>
      <c r="M21" s="3">
        <v>14</v>
      </c>
      <c r="N21" s="3">
        <v>6</v>
      </c>
      <c r="O21" s="3"/>
      <c r="Q21" s="1">
        <v>3</v>
      </c>
      <c r="R21" s="3">
        <v>52</v>
      </c>
      <c r="S21" s="3">
        <v>13</v>
      </c>
      <c r="T21" s="3">
        <v>16</v>
      </c>
      <c r="U21" s="3">
        <f t="shared" si="66"/>
        <v>-19</v>
      </c>
      <c r="V21" s="3">
        <f t="shared" si="67"/>
        <v>16</v>
      </c>
      <c r="W21" s="3">
        <v>48</v>
      </c>
      <c r="X21" s="3">
        <v>0</v>
      </c>
      <c r="Y21" s="3">
        <v>0</v>
      </c>
      <c r="Z21" s="3">
        <v>0</v>
      </c>
      <c r="AA21" s="3">
        <v>0</v>
      </c>
      <c r="AB21" s="3">
        <v>0</v>
      </c>
      <c r="AC21" s="3">
        <v>0</v>
      </c>
      <c r="AD21" s="3">
        <v>0</v>
      </c>
      <c r="AE21" s="3">
        <v>0</v>
      </c>
    </row>
    <row r="22" spans="1:106" x14ac:dyDescent="0.2">
      <c r="A22" s="1" t="s">
        <v>31</v>
      </c>
      <c r="B22" s="3"/>
      <c r="C22" s="3">
        <v>-1</v>
      </c>
      <c r="D22" s="3">
        <v>6</v>
      </c>
      <c r="E22" s="3">
        <v>36</v>
      </c>
      <c r="F22" s="3">
        <f>43-42</f>
        <v>1</v>
      </c>
      <c r="G22" s="3">
        <v>47</v>
      </c>
      <c r="H22" s="3">
        <v>67</v>
      </c>
      <c r="I22" s="3">
        <v>89</v>
      </c>
      <c r="J22" s="3">
        <f>70-1000-42</f>
        <v>-972</v>
      </c>
      <c r="K22" s="3">
        <v>82</v>
      </c>
      <c r="L22" s="3">
        <v>89</v>
      </c>
      <c r="M22" s="3">
        <v>70</v>
      </c>
      <c r="N22" s="3">
        <v>75</v>
      </c>
      <c r="O22" s="3"/>
      <c r="Q22" s="1">
        <v>40</v>
      </c>
      <c r="R22" s="3">
        <v>42</v>
      </c>
      <c r="S22" s="3">
        <v>42</v>
      </c>
      <c r="T22" s="3"/>
      <c r="U22" s="3">
        <f t="shared" si="66"/>
        <v>41</v>
      </c>
      <c r="V22" s="3">
        <f t="shared" si="67"/>
        <v>204</v>
      </c>
      <c r="W22" s="3">
        <v>311</v>
      </c>
      <c r="X22" s="3">
        <f>+W42*$AH$7</f>
        <v>203.22</v>
      </c>
      <c r="Y22" s="3">
        <f t="shared" ref="Y22:AE22" si="71">+X42*$AH$7</f>
        <v>768.62916000000007</v>
      </c>
      <c r="Z22" s="3">
        <f t="shared" si="71"/>
        <v>1462.7936005200002</v>
      </c>
      <c r="AA22" s="3">
        <f t="shared" si="71"/>
        <v>2306.7338720504408</v>
      </c>
      <c r="AB22" s="3">
        <f t="shared" si="71"/>
        <v>3324.4354629072777</v>
      </c>
      <c r="AC22" s="3">
        <f t="shared" si="71"/>
        <v>4543.2339637039186</v>
      </c>
      <c r="AD22" s="3">
        <f t="shared" si="71"/>
        <v>5994.247910044066</v>
      </c>
      <c r="AE22" s="3">
        <f t="shared" si="71"/>
        <v>7712.8650152225091</v>
      </c>
    </row>
    <row r="23" spans="1:106" x14ac:dyDescent="0.2">
      <c r="A23" s="1" t="s">
        <v>32</v>
      </c>
      <c r="B23" s="3">
        <f t="shared" ref="B23:E23" si="72">+B19-B20+B21+B22</f>
        <v>1585</v>
      </c>
      <c r="C23" s="3">
        <f t="shared" si="72"/>
        <v>1534</v>
      </c>
      <c r="D23" s="3">
        <f t="shared" si="72"/>
        <v>1499</v>
      </c>
      <c r="E23" s="3">
        <f t="shared" si="72"/>
        <v>1559</v>
      </c>
      <c r="F23" s="3">
        <f>+F19-F20+F21+F22</f>
        <v>1598</v>
      </c>
      <c r="G23" s="3">
        <f t="shared" ref="G23:J23" si="73">+G19-G20+G21+G22</f>
        <v>1692</v>
      </c>
      <c r="H23" s="3">
        <f t="shared" si="73"/>
        <v>1785</v>
      </c>
      <c r="I23" s="3">
        <f t="shared" si="73"/>
        <v>1850</v>
      </c>
      <c r="J23" s="3">
        <f t="shared" si="73"/>
        <v>968</v>
      </c>
      <c r="K23" s="3">
        <f t="shared" ref="K23:N23" si="74">+K19-K20+K21+K22</f>
        <v>1972</v>
      </c>
      <c r="L23" s="3">
        <f t="shared" si="74"/>
        <v>2085</v>
      </c>
      <c r="M23" s="3">
        <f t="shared" si="74"/>
        <v>1991</v>
      </c>
      <c r="N23" s="3">
        <f t="shared" si="74"/>
        <v>2182</v>
      </c>
      <c r="O23" s="3"/>
      <c r="Q23" s="3">
        <f t="shared" ref="Q23:AC23" si="75">+Q19-Q20+Q21+Q22</f>
        <v>2794</v>
      </c>
      <c r="R23" s="3">
        <f t="shared" si="75"/>
        <v>3205</v>
      </c>
      <c r="S23" s="3">
        <f t="shared" si="75"/>
        <v>4176</v>
      </c>
      <c r="T23" s="3">
        <f t="shared" si="75"/>
        <v>5877</v>
      </c>
      <c r="U23" s="3">
        <f t="shared" si="75"/>
        <v>6177</v>
      </c>
      <c r="V23" s="3">
        <f t="shared" si="75"/>
        <v>6925</v>
      </c>
      <c r="W23" s="3">
        <f t="shared" si="75"/>
        <v>6931</v>
      </c>
      <c r="X23" s="3">
        <f>+X19-X20+X21+X22</f>
        <v>7852.9050000000007</v>
      </c>
      <c r="Y23" s="3">
        <f t="shared" si="75"/>
        <v>9641.1727850000025</v>
      </c>
      <c r="Z23" s="3">
        <f t="shared" si="75"/>
        <v>11721.392660145006</v>
      </c>
      <c r="AA23" s="3">
        <f>+AA19-AA20+AA21+AA22</f>
        <v>14134.744317456072</v>
      </c>
      <c r="AB23" s="3">
        <f t="shared" si="75"/>
        <v>16927.756955508903</v>
      </c>
      <c r="AC23" s="3">
        <f t="shared" si="75"/>
        <v>20152.971476946492</v>
      </c>
      <c r="AD23" s="3">
        <f t="shared" ref="AD23:AE23" si="76">+AD19-AD20+AD21+AD22</f>
        <v>23869.68201636726</v>
      </c>
      <c r="AE23" s="3">
        <f t="shared" si="76"/>
        <v>28144.766105153783</v>
      </c>
    </row>
    <row r="24" spans="1:106" x14ac:dyDescent="0.2">
      <c r="A24" s="1" t="s">
        <v>33</v>
      </c>
      <c r="B24" s="3">
        <v>277</v>
      </c>
      <c r="C24" s="3">
        <v>314</v>
      </c>
      <c r="D24" s="3">
        <v>320</v>
      </c>
      <c r="E24" s="3">
        <v>341</v>
      </c>
      <c r="F24" s="3">
        <v>351</v>
      </c>
      <c r="G24" s="3">
        <v>355</v>
      </c>
      <c r="H24" s="3">
        <v>340</v>
      </c>
      <c r="I24" s="3">
        <v>325</v>
      </c>
      <c r="J24" s="3">
        <v>348</v>
      </c>
      <c r="K24" s="3">
        <v>357</v>
      </c>
      <c r="L24" s="3">
        <v>358</v>
      </c>
      <c r="M24" s="3">
        <v>308</v>
      </c>
      <c r="N24" s="3">
        <v>371</v>
      </c>
      <c r="O24" s="3"/>
      <c r="Q24" s="1">
        <v>203</v>
      </c>
      <c r="R24" s="3">
        <v>254</v>
      </c>
      <c r="S24" s="3">
        <v>-1084</v>
      </c>
      <c r="T24" s="3">
        <v>883</v>
      </c>
      <c r="U24" s="3">
        <f>+SUM(B24:E24)</f>
        <v>1252</v>
      </c>
      <c r="V24" s="3">
        <f>+SUM(F24:I24)</f>
        <v>1371</v>
      </c>
      <c r="W24" s="3">
        <v>1371</v>
      </c>
      <c r="X24" s="3">
        <f t="shared" ref="X24:AC24" si="77">+X23*0.2</f>
        <v>1570.5810000000001</v>
      </c>
      <c r="Y24" s="3">
        <f t="shared" si="77"/>
        <v>1928.2345570000007</v>
      </c>
      <c r="Z24" s="3">
        <f t="shared" si="77"/>
        <v>2344.2785320290013</v>
      </c>
      <c r="AA24" s="3">
        <f t="shared" si="77"/>
        <v>2826.9488634912145</v>
      </c>
      <c r="AB24" s="3">
        <f t="shared" si="77"/>
        <v>3385.5513911017806</v>
      </c>
      <c r="AC24" s="3">
        <f t="shared" si="77"/>
        <v>4030.5942953892986</v>
      </c>
      <c r="AD24" s="3">
        <f t="shared" ref="AD24:AE24" si="78">+AD23*0.2</f>
        <v>4773.936403273452</v>
      </c>
      <c r="AE24" s="3">
        <f t="shared" si="78"/>
        <v>5628.953221030757</v>
      </c>
    </row>
    <row r="25" spans="1:106" x14ac:dyDescent="0.2">
      <c r="A25" s="1" t="s">
        <v>34</v>
      </c>
      <c r="B25" s="3">
        <f t="shared" ref="B25:E25" si="79">+B23-B24</f>
        <v>1308</v>
      </c>
      <c r="C25" s="3">
        <f t="shared" si="79"/>
        <v>1220</v>
      </c>
      <c r="D25" s="3">
        <f t="shared" si="79"/>
        <v>1179</v>
      </c>
      <c r="E25" s="3">
        <f t="shared" si="79"/>
        <v>1218</v>
      </c>
      <c r="F25" s="3">
        <f>+F23-F24</f>
        <v>1247</v>
      </c>
      <c r="G25" s="3">
        <f t="shared" ref="G25:J25" si="80">+G23-G24</f>
        <v>1337</v>
      </c>
      <c r="H25" s="3">
        <f t="shared" si="80"/>
        <v>1445</v>
      </c>
      <c r="I25" s="3">
        <f t="shared" si="80"/>
        <v>1525</v>
      </c>
      <c r="J25" s="3">
        <f t="shared" si="80"/>
        <v>620</v>
      </c>
      <c r="K25" s="3">
        <f t="shared" ref="K25" si="81">+K23-K24</f>
        <v>1615</v>
      </c>
      <c r="L25" s="3">
        <f>+L23-L24</f>
        <v>1727</v>
      </c>
      <c r="M25" s="3">
        <f t="shared" ref="M25:N25" si="82">+M23-M24</f>
        <v>1683</v>
      </c>
      <c r="N25" s="3">
        <f t="shared" si="82"/>
        <v>1811</v>
      </c>
      <c r="O25" s="3"/>
      <c r="Q25" s="3">
        <f t="shared" ref="Q25:AC25" si="83">+Q23-Q24</f>
        <v>2591</v>
      </c>
      <c r="R25" s="3">
        <f t="shared" si="83"/>
        <v>2951</v>
      </c>
      <c r="S25" s="3">
        <f t="shared" si="83"/>
        <v>5260</v>
      </c>
      <c r="T25" s="3">
        <f t="shared" si="83"/>
        <v>4994</v>
      </c>
      <c r="U25" s="3">
        <f t="shared" si="83"/>
        <v>4925</v>
      </c>
      <c r="V25" s="3">
        <f t="shared" si="83"/>
        <v>5554</v>
      </c>
      <c r="W25" s="3">
        <f t="shared" si="83"/>
        <v>5560</v>
      </c>
      <c r="X25" s="3">
        <f t="shared" si="83"/>
        <v>6282.3240000000005</v>
      </c>
      <c r="Y25" s="3">
        <f t="shared" si="83"/>
        <v>7712.9382280000018</v>
      </c>
      <c r="Z25" s="3">
        <f t="shared" si="83"/>
        <v>9377.1141281160053</v>
      </c>
      <c r="AA25" s="3">
        <f t="shared" si="83"/>
        <v>11307.795453964858</v>
      </c>
      <c r="AB25" s="3">
        <f t="shared" si="83"/>
        <v>13542.205564407122</v>
      </c>
      <c r="AC25" s="3">
        <f t="shared" si="83"/>
        <v>16122.377181557193</v>
      </c>
      <c r="AD25" s="3">
        <f t="shared" ref="AD25:AE25" si="84">+AD23-AD24</f>
        <v>19095.745613093808</v>
      </c>
      <c r="AE25" s="3">
        <f t="shared" si="84"/>
        <v>22515.812884123028</v>
      </c>
      <c r="AF25" s="3">
        <f t="shared" ref="AF25:BK25" si="85">+AE25*(1+$AH$6)</f>
        <v>22740.971012964259</v>
      </c>
      <c r="AG25" s="3">
        <f t="shared" si="85"/>
        <v>22968.380723093902</v>
      </c>
      <c r="AH25" s="3">
        <f t="shared" si="85"/>
        <v>23198.064530324842</v>
      </c>
      <c r="AI25" s="3">
        <f t="shared" si="85"/>
        <v>23430.045175628089</v>
      </c>
      <c r="AJ25" s="3">
        <f t="shared" si="85"/>
        <v>23664.345627384369</v>
      </c>
      <c r="AK25" s="3">
        <f t="shared" si="85"/>
        <v>23900.989083658213</v>
      </c>
      <c r="AL25" s="3">
        <f t="shared" si="85"/>
        <v>24139.998974494796</v>
      </c>
      <c r="AM25" s="3">
        <f t="shared" si="85"/>
        <v>24381.398964239743</v>
      </c>
      <c r="AN25" s="3">
        <f t="shared" si="85"/>
        <v>24625.212953882139</v>
      </c>
      <c r="AO25" s="3">
        <f t="shared" si="85"/>
        <v>24871.465083420961</v>
      </c>
      <c r="AP25" s="3">
        <f t="shared" si="85"/>
        <v>25120.179734255169</v>
      </c>
      <c r="AQ25" s="3">
        <f t="shared" si="85"/>
        <v>25371.381531597723</v>
      </c>
      <c r="AR25" s="3">
        <f t="shared" si="85"/>
        <v>25625.095346913698</v>
      </c>
      <c r="AS25" s="3">
        <f t="shared" si="85"/>
        <v>25881.346300382836</v>
      </c>
      <c r="AT25" s="3">
        <f t="shared" si="85"/>
        <v>26140.159763386666</v>
      </c>
      <c r="AU25" s="3">
        <f t="shared" si="85"/>
        <v>26401.561361020533</v>
      </c>
      <c r="AV25" s="3">
        <f t="shared" si="85"/>
        <v>26665.576974630738</v>
      </c>
      <c r="AW25" s="3">
        <f t="shared" si="85"/>
        <v>26932.232744377045</v>
      </c>
      <c r="AX25" s="3">
        <f t="shared" si="85"/>
        <v>27201.555071820814</v>
      </c>
      <c r="AY25" s="3">
        <f t="shared" si="85"/>
        <v>27473.570622539024</v>
      </c>
      <c r="AZ25" s="3">
        <f t="shared" si="85"/>
        <v>27748.306328764415</v>
      </c>
      <c r="BA25" s="3">
        <f t="shared" si="85"/>
        <v>28025.789392052058</v>
      </c>
      <c r="BB25" s="3">
        <f t="shared" si="85"/>
        <v>28306.047285972578</v>
      </c>
      <c r="BC25" s="3">
        <f t="shared" si="85"/>
        <v>28589.107758832302</v>
      </c>
      <c r="BD25" s="3">
        <f t="shared" si="85"/>
        <v>28874.998836420626</v>
      </c>
      <c r="BE25" s="3">
        <f t="shared" si="85"/>
        <v>29163.748824784831</v>
      </c>
      <c r="BF25" s="3">
        <f t="shared" si="85"/>
        <v>29455.386313032679</v>
      </c>
      <c r="BG25" s="3">
        <f t="shared" si="85"/>
        <v>29749.940176163007</v>
      </c>
      <c r="BH25" s="3">
        <f t="shared" si="85"/>
        <v>30047.439577924637</v>
      </c>
      <c r="BI25" s="3">
        <f t="shared" si="85"/>
        <v>30347.913973703882</v>
      </c>
      <c r="BJ25" s="3">
        <f t="shared" si="85"/>
        <v>30651.393113440921</v>
      </c>
      <c r="BK25" s="3">
        <f t="shared" si="85"/>
        <v>30957.907044575331</v>
      </c>
      <c r="BL25" s="3">
        <f t="shared" ref="BL25:CQ25" si="86">+BK25*(1+$AH$6)</f>
        <v>31267.486115021085</v>
      </c>
      <c r="BM25" s="3">
        <f t="shared" si="86"/>
        <v>31580.160976171297</v>
      </c>
      <c r="BN25" s="3">
        <f t="shared" si="86"/>
        <v>31895.962585933012</v>
      </c>
      <c r="BO25" s="3">
        <f t="shared" si="86"/>
        <v>32214.922211792342</v>
      </c>
      <c r="BP25" s="3">
        <f t="shared" si="86"/>
        <v>32537.071433910267</v>
      </c>
      <c r="BQ25" s="3">
        <f t="shared" si="86"/>
        <v>32862.442148249371</v>
      </c>
      <c r="BR25" s="3">
        <f t="shared" si="86"/>
        <v>33191.066569731862</v>
      </c>
      <c r="BS25" s="3">
        <f t="shared" si="86"/>
        <v>33522.977235429178</v>
      </c>
      <c r="BT25" s="3">
        <f t="shared" si="86"/>
        <v>33858.207007783472</v>
      </c>
      <c r="BU25" s="3">
        <f t="shared" si="86"/>
        <v>34196.789077861307</v>
      </c>
      <c r="BV25" s="3">
        <f t="shared" si="86"/>
        <v>34538.756968639922</v>
      </c>
      <c r="BW25" s="3">
        <f t="shared" si="86"/>
        <v>34884.14453832632</v>
      </c>
      <c r="BX25" s="3">
        <f t="shared" si="86"/>
        <v>35232.985983709586</v>
      </c>
      <c r="BY25" s="3">
        <f t="shared" si="86"/>
        <v>35585.315843546683</v>
      </c>
      <c r="BZ25" s="3">
        <f t="shared" si="86"/>
        <v>35941.169001982147</v>
      </c>
      <c r="CA25" s="3">
        <f t="shared" si="86"/>
        <v>36300.580692001968</v>
      </c>
      <c r="CB25" s="3">
        <f t="shared" si="86"/>
        <v>36663.586498921984</v>
      </c>
      <c r="CC25" s="3">
        <f t="shared" si="86"/>
        <v>37030.222363911205</v>
      </c>
      <c r="CD25" s="3">
        <f t="shared" si="86"/>
        <v>37400.524587550317</v>
      </c>
      <c r="CE25" s="3">
        <f t="shared" si="86"/>
        <v>37774.529833425819</v>
      </c>
      <c r="CF25" s="3">
        <f t="shared" si="86"/>
        <v>38152.275131760078</v>
      </c>
      <c r="CG25" s="3">
        <f t="shared" si="86"/>
        <v>38533.797883077677</v>
      </c>
      <c r="CH25" s="3">
        <f t="shared" si="86"/>
        <v>38919.135861908457</v>
      </c>
      <c r="CI25" s="3">
        <f t="shared" si="86"/>
        <v>39308.327220527543</v>
      </c>
      <c r="CJ25" s="3">
        <f t="shared" si="86"/>
        <v>39701.410492732815</v>
      </c>
      <c r="CK25" s="3">
        <f t="shared" si="86"/>
        <v>40098.424597660145</v>
      </c>
      <c r="CL25" s="3">
        <f t="shared" si="86"/>
        <v>40499.408843636746</v>
      </c>
      <c r="CM25" s="3">
        <f t="shared" si="86"/>
        <v>40904.402932073113</v>
      </c>
      <c r="CN25" s="3">
        <f t="shared" si="86"/>
        <v>41313.446961393842</v>
      </c>
      <c r="CO25" s="3">
        <f t="shared" si="86"/>
        <v>41726.581431007784</v>
      </c>
      <c r="CP25" s="3">
        <f t="shared" si="86"/>
        <v>42143.847245317862</v>
      </c>
      <c r="CQ25" s="3">
        <f t="shared" si="86"/>
        <v>42565.285717771039</v>
      </c>
      <c r="CR25" s="3">
        <f t="shared" ref="CR25:DB25" si="87">+CQ25*(1+$AH$6)</f>
        <v>42990.938574948748</v>
      </c>
      <c r="CS25" s="3">
        <f t="shared" si="87"/>
        <v>43420.847960698236</v>
      </c>
      <c r="CT25" s="3">
        <f t="shared" si="87"/>
        <v>43855.056440305219</v>
      </c>
      <c r="CU25" s="3">
        <f t="shared" si="87"/>
        <v>44293.607004708269</v>
      </c>
      <c r="CV25" s="3">
        <f t="shared" si="87"/>
        <v>44736.543074755355</v>
      </c>
      <c r="CW25" s="3">
        <f t="shared" si="87"/>
        <v>45183.908505502906</v>
      </c>
      <c r="CX25" s="3">
        <f t="shared" si="87"/>
        <v>45635.747590557934</v>
      </c>
      <c r="CY25" s="3">
        <f t="shared" si="87"/>
        <v>46092.105066463511</v>
      </c>
      <c r="CZ25" s="3">
        <f t="shared" si="87"/>
        <v>46553.026117128145</v>
      </c>
      <c r="DA25" s="3">
        <f t="shared" si="87"/>
        <v>47018.556378299429</v>
      </c>
      <c r="DB25" s="3">
        <f t="shared" si="87"/>
        <v>47488.741942082423</v>
      </c>
    </row>
    <row r="26" spans="1:106" x14ac:dyDescent="0.2">
      <c r="A26" s="1" t="s">
        <v>35</v>
      </c>
      <c r="B26" s="3">
        <v>475</v>
      </c>
      <c r="C26" s="3">
        <v>473</v>
      </c>
      <c r="D26" s="3">
        <v>469</v>
      </c>
      <c r="E26" s="3">
        <v>466</v>
      </c>
      <c r="F26" s="3">
        <v>456</v>
      </c>
      <c r="G26" s="3">
        <v>459</v>
      </c>
      <c r="H26" s="3">
        <v>459</v>
      </c>
      <c r="I26" s="3">
        <v>459</v>
      </c>
      <c r="J26" s="3">
        <v>460</v>
      </c>
      <c r="K26" s="3">
        <v>451</v>
      </c>
      <c r="L26" s="3">
        <v>448</v>
      </c>
      <c r="M26" s="3">
        <v>443</v>
      </c>
      <c r="N26" s="3">
        <v>438</v>
      </c>
      <c r="O26" s="3"/>
      <c r="Q26" s="1">
        <v>498</v>
      </c>
      <c r="R26" s="3">
        <v>492</v>
      </c>
      <c r="S26" s="3">
        <v>485</v>
      </c>
      <c r="T26" s="3">
        <v>477</v>
      </c>
      <c r="U26" s="3">
        <v>466</v>
      </c>
      <c r="V26" s="3">
        <v>459</v>
      </c>
      <c r="W26" s="3">
        <v>450</v>
      </c>
      <c r="X26" s="3">
        <v>443</v>
      </c>
      <c r="Y26" s="3">
        <f t="shared" ref="Y26:AC26" si="88">+X26*0.985</f>
        <v>436.35500000000002</v>
      </c>
      <c r="Z26" s="3">
        <f t="shared" si="88"/>
        <v>429.80967500000003</v>
      </c>
      <c r="AA26" s="3">
        <f t="shared" si="88"/>
        <v>423.36252987500001</v>
      </c>
      <c r="AB26" s="3">
        <f t="shared" si="88"/>
        <v>417.01209192687497</v>
      </c>
      <c r="AC26" s="3">
        <f t="shared" si="88"/>
        <v>410.75691054797187</v>
      </c>
      <c r="AD26" s="3">
        <f t="shared" ref="AD26" si="89">+AC26*0.985</f>
        <v>404.59555688975229</v>
      </c>
      <c r="AE26" s="3">
        <f t="shared" ref="AE26" si="90">+AD26*0.985</f>
        <v>398.52662353640602</v>
      </c>
    </row>
    <row r="27" spans="1:106" x14ac:dyDescent="0.2">
      <c r="A27" s="1" t="s">
        <v>36</v>
      </c>
      <c r="B27" s="5">
        <f>+B25/B26</f>
        <v>2.7536842105263157</v>
      </c>
      <c r="C27" s="5">
        <f t="shared" ref="C27:J27" si="91">+C25/C26</f>
        <v>2.5792811839323466</v>
      </c>
      <c r="D27" s="5">
        <f t="shared" si="91"/>
        <v>2.5138592750533051</v>
      </c>
      <c r="E27" s="5">
        <f t="shared" si="91"/>
        <v>2.6137339055793993</v>
      </c>
      <c r="F27" s="5">
        <f t="shared" si="91"/>
        <v>2.7346491228070176</v>
      </c>
      <c r="G27" s="5">
        <f t="shared" si="91"/>
        <v>2.9128540305010895</v>
      </c>
      <c r="H27" s="5">
        <f t="shared" si="91"/>
        <v>3.1481481481481484</v>
      </c>
      <c r="I27" s="5">
        <f t="shared" si="91"/>
        <v>3.3224400871459694</v>
      </c>
      <c r="J27" s="5">
        <f t="shared" si="91"/>
        <v>1.3478260869565217</v>
      </c>
      <c r="K27" s="5">
        <f t="shared" ref="K27:N27" si="92">+K25/K26</f>
        <v>3.5809312638580932</v>
      </c>
      <c r="L27" s="5">
        <f t="shared" si="92"/>
        <v>3.8549107142857144</v>
      </c>
      <c r="M27" s="5">
        <f t="shared" si="92"/>
        <v>3.7990970654627541</v>
      </c>
      <c r="N27" s="5">
        <f t="shared" si="92"/>
        <v>4.134703196347032</v>
      </c>
      <c r="Q27" s="5">
        <f t="shared" ref="Q27:AC27" si="93">+Q25/Q26</f>
        <v>5.2028112449799195</v>
      </c>
      <c r="R27" s="5">
        <f t="shared" si="93"/>
        <v>5.9979674796747968</v>
      </c>
      <c r="S27" s="5">
        <f t="shared" si="93"/>
        <v>10.845360824742269</v>
      </c>
      <c r="T27" s="5">
        <f t="shared" si="93"/>
        <v>10.469601677148846</v>
      </c>
      <c r="U27" s="5">
        <f t="shared" si="93"/>
        <v>10.568669527896995</v>
      </c>
      <c r="V27" s="5">
        <f t="shared" si="93"/>
        <v>12.100217864923748</v>
      </c>
      <c r="W27" s="5">
        <f t="shared" si="93"/>
        <v>12.355555555555556</v>
      </c>
      <c r="X27" s="5">
        <f t="shared" si="93"/>
        <v>14.18131828442438</v>
      </c>
      <c r="Y27" s="5">
        <f t="shared" si="93"/>
        <v>17.675833273366873</v>
      </c>
      <c r="Z27" s="5">
        <f t="shared" si="93"/>
        <v>21.816898672920765</v>
      </c>
      <c r="AA27" s="5">
        <f t="shared" si="93"/>
        <v>26.709485738625816</v>
      </c>
      <c r="AB27" s="5">
        <f t="shared" si="93"/>
        <v>32.474371430893214</v>
      </c>
      <c r="AC27" s="5">
        <f t="shared" si="93"/>
        <v>39.250410078430747</v>
      </c>
      <c r="AD27" s="5">
        <f t="shared" ref="AD27:AE27" si="94">+AD25/AD26</f>
        <v>47.197121391763538</v>
      </c>
      <c r="AE27" s="5">
        <f t="shared" si="94"/>
        <v>56.497637935263754</v>
      </c>
    </row>
    <row r="29" spans="1:106" x14ac:dyDescent="0.2">
      <c r="A29" s="2" t="s">
        <v>37</v>
      </c>
      <c r="B29" s="12"/>
      <c r="C29" s="12"/>
      <c r="D29" s="12"/>
      <c r="E29" s="12"/>
      <c r="F29" s="12">
        <f t="shared" ref="F29" si="95">+F9/B9-1</f>
        <v>9.2210229938995747E-2</v>
      </c>
      <c r="G29" s="12">
        <f t="shared" ref="G29:I29" si="96">+G9/C9-1</f>
        <v>9.8039215686274606E-2</v>
      </c>
      <c r="H29" s="12">
        <f t="shared" si="96"/>
        <v>0.1030904579291676</v>
      </c>
      <c r="I29" s="12">
        <f t="shared" si="96"/>
        <v>0.1155801104972376</v>
      </c>
      <c r="J29" s="12">
        <f>+J9/F9-1</f>
        <v>0.11321160042964551</v>
      </c>
      <c r="K29" s="12">
        <f>+K9/G9-1</f>
        <v>0.10236710963455153</v>
      </c>
      <c r="L29" s="12">
        <f t="shared" ref="L29" si="97">+L9/H9-1</f>
        <v>0.10593047034764824</v>
      </c>
      <c r="M29" s="12">
        <f t="shared" ref="M29" si="98">+M9/I9-1</f>
        <v>0.11053882725832009</v>
      </c>
      <c r="N29" s="12">
        <f t="shared" ref="N29" si="99">+N9/J9-1</f>
        <v>0.10266306445387885</v>
      </c>
      <c r="O29" s="12">
        <f t="shared" ref="O29" si="100">+O9/K9-1</f>
        <v>9.2484460350348519E-2</v>
      </c>
      <c r="P29" s="2"/>
      <c r="Q29" s="2"/>
      <c r="R29" s="12">
        <f t="shared" ref="R29:T29" si="101">+R9/Q9-1</f>
        <v>0.23709856035437427</v>
      </c>
      <c r="S29" s="12">
        <f t="shared" si="101"/>
        <v>0.151911198639334</v>
      </c>
      <c r="T29" s="12">
        <f t="shared" si="101"/>
        <v>0.22668635374572577</v>
      </c>
      <c r="U29" s="12">
        <f>+U9/T9-1</f>
        <v>0.11536268609439349</v>
      </c>
      <c r="V29" s="12">
        <f t="shared" ref="V29:AC29" si="102">+V9/U9-1</f>
        <v>0.10240826990798602</v>
      </c>
      <c r="W29" s="12">
        <f t="shared" si="102"/>
        <v>0.10799113813179462</v>
      </c>
      <c r="X29" s="12">
        <f t="shared" si="102"/>
        <v>0.1045091839107184</v>
      </c>
      <c r="Y29" s="12">
        <f t="shared" si="102"/>
        <v>0.1050784402632654</v>
      </c>
      <c r="Z29" s="12">
        <f t="shared" si="102"/>
        <v>0.10559095177152633</v>
      </c>
      <c r="AA29" s="12">
        <f t="shared" si="102"/>
        <v>0.10605192341779301</v>
      </c>
      <c r="AB29" s="12">
        <f t="shared" si="102"/>
        <v>0.10646617330196695</v>
      </c>
      <c r="AC29" s="12">
        <f t="shared" si="102"/>
        <v>0.10683814244351231</v>
      </c>
      <c r="AD29" s="12">
        <f t="shared" ref="AD29" si="103">+AD9/AC9-1</f>
        <v>0.10717190900738882</v>
      </c>
      <c r="AE29" s="12">
        <f t="shared" ref="AE29" si="104">+AE9/AD9-1</f>
        <v>0.10747120563671508</v>
      </c>
    </row>
    <row r="30" spans="1:106" x14ac:dyDescent="0.2">
      <c r="A30" s="1" t="s">
        <v>38</v>
      </c>
      <c r="B30" s="7">
        <f t="shared" ref="B30:I30" si="105">+B14/B9</f>
        <v>0.87986860628812769</v>
      </c>
      <c r="C30" s="7">
        <f t="shared" si="105"/>
        <v>0.87710898312813501</v>
      </c>
      <c r="D30" s="7">
        <f t="shared" si="105"/>
        <v>0.87683284457478006</v>
      </c>
      <c r="E30" s="7">
        <f t="shared" si="105"/>
        <v>0.87447513812154698</v>
      </c>
      <c r="F30" s="7">
        <f t="shared" si="105"/>
        <v>0.87798066595059077</v>
      </c>
      <c r="G30" s="7">
        <f t="shared" si="105"/>
        <v>0.8812292358803987</v>
      </c>
      <c r="H30" s="7">
        <f t="shared" si="105"/>
        <v>0.88139059304703471</v>
      </c>
      <c r="I30" s="7">
        <f t="shared" si="105"/>
        <v>0.87440570522979399</v>
      </c>
      <c r="J30" s="7">
        <f>+J14/J9</f>
        <v>0.88614434581242763</v>
      </c>
      <c r="K30" s="7">
        <f>+K14/K9</f>
        <v>0.88736108495008481</v>
      </c>
      <c r="L30" s="7">
        <f t="shared" ref="L30:M30" si="106">+L14/L9</f>
        <v>0.8975591715976331</v>
      </c>
      <c r="M30" s="7">
        <f t="shared" si="106"/>
        <v>0.89011773100249736</v>
      </c>
      <c r="N30" s="7">
        <f t="shared" ref="N30" si="107">+N14/N9</f>
        <v>0.89114455722786134</v>
      </c>
      <c r="Q30" s="4">
        <f t="shared" ref="Q30" si="108">+Q14/Q9</f>
        <v>0.86766334440753046</v>
      </c>
      <c r="R30" s="4">
        <f t="shared" ref="R30" si="109">+R14/R9</f>
        <v>0.85023722137677915</v>
      </c>
      <c r="S30" s="4">
        <f t="shared" ref="S30:T30" si="110">+S14/S9</f>
        <v>0.86617967050046629</v>
      </c>
      <c r="T30" s="4">
        <f t="shared" si="110"/>
        <v>0.88184985745961353</v>
      </c>
      <c r="U30" s="4">
        <f t="shared" ref="U30:AC30" si="111">+U14/U9</f>
        <v>0.87703055776439853</v>
      </c>
      <c r="V30" s="4">
        <f t="shared" si="111"/>
        <v>0.87871605955999799</v>
      </c>
      <c r="W30" s="4">
        <f t="shared" si="111"/>
        <v>0.89035108114392003</v>
      </c>
      <c r="X30" s="4">
        <f t="shared" si="111"/>
        <v>0.89310353828464994</v>
      </c>
      <c r="Y30" s="4">
        <f t="shared" si="111"/>
        <v>0.89560303188668011</v>
      </c>
      <c r="Z30" s="4">
        <f t="shared" si="111"/>
        <v>0.897875902466164</v>
      </c>
      <c r="AA30" s="4">
        <f t="shared" si="111"/>
        <v>0.89994583316470633</v>
      </c>
      <c r="AB30" s="4">
        <f t="shared" si="111"/>
        <v>0.90183409440361617</v>
      </c>
      <c r="AC30" s="4">
        <f t="shared" si="111"/>
        <v>0.90355977121890807</v>
      </c>
      <c r="AD30" s="4">
        <f t="shared" ref="AD30:AE30" si="112">+AD14/AD9</f>
        <v>0.90513997332941554</v>
      </c>
      <c r="AE30" s="4">
        <f t="shared" si="112"/>
        <v>0.9065900283094277</v>
      </c>
    </row>
    <row r="31" spans="1:106" x14ac:dyDescent="0.2">
      <c r="A31" s="1" t="s">
        <v>39</v>
      </c>
      <c r="B31" s="7">
        <f t="shared" ref="B31:H31" si="113">+B19/B9</f>
        <v>0.38057250117315816</v>
      </c>
      <c r="C31" s="7">
        <f t="shared" si="113"/>
        <v>0.35818513451892386</v>
      </c>
      <c r="D31" s="7">
        <f t="shared" si="113"/>
        <v>0.34446198962327995</v>
      </c>
      <c r="E31" s="7">
        <f t="shared" si="113"/>
        <v>0.34187845303867404</v>
      </c>
      <c r="F31" s="7">
        <f t="shared" si="113"/>
        <v>0.34973147153598283</v>
      </c>
      <c r="G31" s="7">
        <f t="shared" si="113"/>
        <v>0.34593023255813954</v>
      </c>
      <c r="H31" s="7">
        <f t="shared" si="113"/>
        <v>0.35562372188139058</v>
      </c>
      <c r="I31" s="7">
        <f>+I19/I9</f>
        <v>0.3536053882725832</v>
      </c>
      <c r="J31" s="7">
        <f>+J19/J9</f>
        <v>0.37610961018911615</v>
      </c>
      <c r="K31" s="7">
        <f>+K19/K9</f>
        <v>0.36296854398191752</v>
      </c>
      <c r="L31" s="7">
        <f t="shared" ref="L31:M31" si="114">+L19/L9</f>
        <v>0.37629437869822485</v>
      </c>
      <c r="M31" s="7">
        <f t="shared" si="114"/>
        <v>0.34909026043524793</v>
      </c>
      <c r="N31" s="7">
        <f t="shared" ref="N31" si="115">+N19/N9</f>
        <v>0.37854392719635982</v>
      </c>
      <c r="Q31" s="4">
        <f t="shared" ref="Q31" si="116">+Q19/Q9</f>
        <v>0.31450719822812845</v>
      </c>
      <c r="R31" s="4">
        <f t="shared" ref="R31" si="117">+R19/R9</f>
        <v>0.29254319219407393</v>
      </c>
      <c r="S31" s="4">
        <f t="shared" ref="S31:T31" si="118">+S19/S9</f>
        <v>0.32926639726453216</v>
      </c>
      <c r="T31" s="4">
        <f t="shared" si="118"/>
        <v>0.37846056382641746</v>
      </c>
      <c r="U31" s="4">
        <f t="shared" ref="U31:AC31" si="119">+U19/U9</f>
        <v>0.35595819606952173</v>
      </c>
      <c r="V31" s="4">
        <f t="shared" si="119"/>
        <v>0.35128033386573237</v>
      </c>
      <c r="W31" s="4">
        <f t="shared" si="119"/>
        <v>0.31346198558474775</v>
      </c>
      <c r="X31" s="4">
        <f t="shared" si="119"/>
        <v>0.3291024049288348</v>
      </c>
      <c r="Y31" s="4">
        <f t="shared" si="119"/>
        <v>0.34433338124112028</v>
      </c>
      <c r="Z31" s="4">
        <f t="shared" si="119"/>
        <v>0.35915247219676383</v>
      </c>
      <c r="AA31" s="4">
        <f t="shared" si="119"/>
        <v>0.37355970817481143</v>
      </c>
      <c r="AB31" s="4">
        <f t="shared" si="119"/>
        <v>0.38755725561407883</v>
      </c>
      <c r="AC31" s="4">
        <f t="shared" si="119"/>
        <v>0.40114910171682994</v>
      </c>
      <c r="AD31" s="4">
        <f t="shared" ref="AD31:AE31" si="120">+AD19/AD9</f>
        <v>0.4143407640060493</v>
      </c>
      <c r="AE31" s="4">
        <f t="shared" si="120"/>
        <v>0.42713902648307889</v>
      </c>
    </row>
    <row r="32" spans="1:106" x14ac:dyDescent="0.2">
      <c r="A32" s="1" t="s">
        <v>57</v>
      </c>
      <c r="B32" s="7">
        <f>+B25/B9</f>
        <v>0.30689816987329893</v>
      </c>
      <c r="C32" s="7">
        <f t="shared" ref="C32:M32" si="121">+C25/C9</f>
        <v>0.27815777473780212</v>
      </c>
      <c r="D32" s="7">
        <f t="shared" si="121"/>
        <v>0.26595984660500788</v>
      </c>
      <c r="E32" s="7">
        <f t="shared" si="121"/>
        <v>0.26917127071823205</v>
      </c>
      <c r="F32" s="7">
        <f t="shared" si="121"/>
        <v>0.2678839957035446</v>
      </c>
      <c r="G32" s="7">
        <f t="shared" si="121"/>
        <v>0.27761627906976744</v>
      </c>
      <c r="H32" s="7">
        <f t="shared" si="121"/>
        <v>0.29550102249488752</v>
      </c>
      <c r="I32" s="7">
        <f t="shared" si="121"/>
        <v>0.30209984152139463</v>
      </c>
      <c r="J32" s="7">
        <f t="shared" si="121"/>
        <v>0.11964492473948282</v>
      </c>
      <c r="K32" s="7">
        <f t="shared" si="121"/>
        <v>0.30420041439065737</v>
      </c>
      <c r="L32" s="7">
        <f t="shared" si="121"/>
        <v>0.31934171597633138</v>
      </c>
      <c r="M32" s="7">
        <f t="shared" si="121"/>
        <v>0.30021405636817694</v>
      </c>
      <c r="N32" s="7">
        <f t="shared" ref="N32" si="122">+N25/N9</f>
        <v>0.31694084704235209</v>
      </c>
      <c r="Q32" s="4">
        <f t="shared" ref="Q32" si="123">+Q25/Q9</f>
        <v>0.28693244739756368</v>
      </c>
      <c r="R32" s="4">
        <f t="shared" ref="R32" si="124">+R25/R9</f>
        <v>0.26416614448124609</v>
      </c>
      <c r="S32" s="4">
        <f t="shared" ref="S32:T32" si="125">+S25/S9</f>
        <v>0.40876593099160707</v>
      </c>
      <c r="T32" s="4">
        <f t="shared" si="125"/>
        <v>0.31637630662020905</v>
      </c>
      <c r="U32" s="4">
        <f t="shared" ref="U32:AE32" si="126">+U25/U9</f>
        <v>0.27973418152902418</v>
      </c>
      <c r="V32" s="4">
        <f t="shared" si="126"/>
        <v>0.2861559070534288</v>
      </c>
      <c r="W32" s="4">
        <f t="shared" si="126"/>
        <v>0.25854452452917925</v>
      </c>
      <c r="X32" s="4">
        <f t="shared" si="126"/>
        <v>0.26449139815774952</v>
      </c>
      <c r="Y32" s="4">
        <f t="shared" si="126"/>
        <v>0.29384477240801016</v>
      </c>
      <c r="Z32" s="4">
        <f t="shared" si="126"/>
        <v>0.32312669736898691</v>
      </c>
      <c r="AA32" s="4">
        <f t="shared" si="126"/>
        <v>0.35229466673723675</v>
      </c>
      <c r="AB32" s="4">
        <f t="shared" si="126"/>
        <v>0.38131104507607666</v>
      </c>
      <c r="AC32" s="4">
        <f t="shared" si="126"/>
        <v>0.41014266000844529</v>
      </c>
      <c r="AD32" s="4">
        <f t="shared" si="126"/>
        <v>0.43876040495020258</v>
      </c>
      <c r="AE32" s="4">
        <f t="shared" si="126"/>
        <v>0.4671388589865092</v>
      </c>
    </row>
    <row r="34" spans="1:31" x14ac:dyDescent="0.2">
      <c r="A34" s="1" t="s">
        <v>40</v>
      </c>
      <c r="B34" s="3">
        <v>1769</v>
      </c>
      <c r="C34" s="3">
        <v>2040</v>
      </c>
      <c r="D34" s="3">
        <v>1704</v>
      </c>
      <c r="E34" s="3">
        <v>2325</v>
      </c>
      <c r="F34" s="3">
        <v>1693</v>
      </c>
      <c r="G34" s="3">
        <v>2139</v>
      </c>
      <c r="H34" s="3">
        <v>1873</v>
      </c>
      <c r="I34" s="3">
        <v>1597</v>
      </c>
      <c r="J34" s="3">
        <v>1174</v>
      </c>
      <c r="K34" s="3">
        <v>1940</v>
      </c>
      <c r="L34" s="3">
        <v>2021</v>
      </c>
      <c r="M34" s="3">
        <v>2921</v>
      </c>
      <c r="N34" s="3">
        <v>2482</v>
      </c>
      <c r="O34" s="3"/>
      <c r="P34" s="3"/>
      <c r="Q34" s="3">
        <v>4029</v>
      </c>
      <c r="R34" s="3">
        <v>4422</v>
      </c>
      <c r="S34" s="3">
        <v>5727</v>
      </c>
      <c r="T34" s="3">
        <v>7230</v>
      </c>
      <c r="U34" s="3">
        <f>+SUM(B34:E34)</f>
        <v>7838</v>
      </c>
      <c r="V34" s="3">
        <f>+SUM(F34:I34)</f>
        <v>7302</v>
      </c>
      <c r="W34" s="3">
        <f>+SUM(J34:M34)</f>
        <v>8056</v>
      </c>
      <c r="X34" s="3"/>
      <c r="Y34" s="3"/>
      <c r="Z34" s="3"/>
      <c r="AA34" s="3"/>
      <c r="AB34" s="3"/>
      <c r="AC34" s="3"/>
    </row>
    <row r="35" spans="1:31" x14ac:dyDescent="0.2">
      <c r="A35" s="1" t="s">
        <v>41</v>
      </c>
      <c r="B35" s="3">
        <v>100</v>
      </c>
      <c r="C35" s="3">
        <v>126</v>
      </c>
      <c r="D35" s="3">
        <v>125</v>
      </c>
      <c r="E35" s="3">
        <v>91</v>
      </c>
      <c r="F35" s="3">
        <v>101</v>
      </c>
      <c r="G35" s="3">
        <v>121</v>
      </c>
      <c r="H35" s="3">
        <v>91</v>
      </c>
      <c r="I35" s="3">
        <v>47</v>
      </c>
      <c r="J35" s="3">
        <v>37</v>
      </c>
      <c r="K35" s="3">
        <v>-41</v>
      </c>
      <c r="L35" s="3">
        <v>57</v>
      </c>
      <c r="M35" s="3">
        <v>48</v>
      </c>
      <c r="N35" s="3">
        <v>26</v>
      </c>
      <c r="O35" s="3"/>
      <c r="P35" s="3"/>
      <c r="Q35" s="3">
        <v>267</v>
      </c>
      <c r="R35" s="3">
        <v>395</v>
      </c>
      <c r="S35" s="3">
        <v>419</v>
      </c>
      <c r="T35" s="3">
        <v>348</v>
      </c>
      <c r="U35" s="3">
        <f t="shared" ref="U35" si="127">+SUM(B35:E35)</f>
        <v>442</v>
      </c>
      <c r="V35" s="3">
        <f t="shared" ref="V35" si="128">+SUM(F35:I35)</f>
        <v>360</v>
      </c>
      <c r="W35" s="3">
        <f t="shared" ref="W35" si="129">+SUM(J35:M35)</f>
        <v>101</v>
      </c>
      <c r="X35" s="3"/>
      <c r="Y35" s="3"/>
      <c r="Z35" s="3"/>
      <c r="AA35" s="3"/>
      <c r="AB35" s="3"/>
      <c r="AC35" s="3"/>
    </row>
    <row r="36" spans="1:31" x14ac:dyDescent="0.2">
      <c r="A36" s="1" t="s">
        <v>42</v>
      </c>
      <c r="B36" s="3">
        <v>322</v>
      </c>
      <c r="C36" s="3">
        <v>352</v>
      </c>
      <c r="D36" s="3">
        <v>378</v>
      </c>
      <c r="E36" s="3">
        <v>388</v>
      </c>
      <c r="F36" s="3">
        <v>416</v>
      </c>
      <c r="G36" s="3">
        <v>433</v>
      </c>
      <c r="H36" s="3">
        <v>442</v>
      </c>
      <c r="I36" s="3">
        <v>427</v>
      </c>
      <c r="J36" s="3">
        <v>451</v>
      </c>
      <c r="K36" s="3">
        <v>467</v>
      </c>
      <c r="L36" s="3">
        <v>474</v>
      </c>
      <c r="M36" s="3">
        <v>441</v>
      </c>
      <c r="N36" s="3">
        <v>475</v>
      </c>
      <c r="O36" s="3"/>
      <c r="P36" s="3"/>
      <c r="Q36" s="3">
        <v>610</v>
      </c>
      <c r="R36" s="3">
        <v>788</v>
      </c>
      <c r="S36" s="3">
        <v>909</v>
      </c>
      <c r="T36" s="3">
        <v>1069</v>
      </c>
      <c r="U36" s="3">
        <f t="shared" ref="U36" si="130">+SUM(B36:E36)</f>
        <v>1440</v>
      </c>
      <c r="V36" s="3">
        <f t="shared" ref="V36" si="131">+SUM(F36:I36)</f>
        <v>1718</v>
      </c>
      <c r="W36" s="3">
        <f t="shared" ref="W36" si="132">+SUM(J36:M36)</f>
        <v>1833</v>
      </c>
      <c r="X36" s="3"/>
      <c r="Y36" s="3"/>
      <c r="Z36" s="3"/>
      <c r="AA36" s="3"/>
      <c r="AB36" s="3"/>
      <c r="AC36" s="3"/>
    </row>
    <row r="37" spans="1:31" x14ac:dyDescent="0.2">
      <c r="A37" s="2" t="s">
        <v>43</v>
      </c>
      <c r="B37" s="6">
        <f t="shared" ref="B37:L37" si="133">+B34-B35</f>
        <v>1669</v>
      </c>
      <c r="C37" s="6">
        <f t="shared" si="133"/>
        <v>1914</v>
      </c>
      <c r="D37" s="6">
        <f t="shared" si="133"/>
        <v>1579</v>
      </c>
      <c r="E37" s="6">
        <f t="shared" si="133"/>
        <v>2234</v>
      </c>
      <c r="F37" s="6">
        <f t="shared" si="133"/>
        <v>1592</v>
      </c>
      <c r="G37" s="6">
        <f t="shared" si="133"/>
        <v>2018</v>
      </c>
      <c r="H37" s="6">
        <f t="shared" si="133"/>
        <v>1782</v>
      </c>
      <c r="I37" s="6">
        <f t="shared" si="133"/>
        <v>1550</v>
      </c>
      <c r="J37" s="6">
        <f t="shared" si="133"/>
        <v>1137</v>
      </c>
      <c r="K37" s="6">
        <f t="shared" si="133"/>
        <v>1981</v>
      </c>
      <c r="L37" s="6">
        <f t="shared" si="133"/>
        <v>1964</v>
      </c>
      <c r="M37" s="6">
        <f>+M34-M35</f>
        <v>2873</v>
      </c>
      <c r="N37" s="6">
        <f t="shared" ref="N37" si="134">+N34-N35</f>
        <v>2456</v>
      </c>
      <c r="O37" s="3"/>
      <c r="P37" s="3"/>
      <c r="Q37" s="6">
        <f t="shared" ref="Q37:W37" si="135">+Q34-Q35</f>
        <v>3762</v>
      </c>
      <c r="R37" s="6">
        <f t="shared" si="135"/>
        <v>4027</v>
      </c>
      <c r="S37" s="6">
        <f t="shared" si="135"/>
        <v>5308</v>
      </c>
      <c r="T37" s="6">
        <f t="shared" si="135"/>
        <v>6882</v>
      </c>
      <c r="U37" s="6">
        <f t="shared" si="135"/>
        <v>7396</v>
      </c>
      <c r="V37" s="6">
        <f t="shared" si="135"/>
        <v>6942</v>
      </c>
      <c r="W37" s="6">
        <f t="shared" si="135"/>
        <v>7955</v>
      </c>
      <c r="X37" s="3">
        <f t="shared" ref="X37:AC37" si="136">+X34-X35-X36</f>
        <v>0</v>
      </c>
      <c r="Y37" s="3">
        <f t="shared" si="136"/>
        <v>0</v>
      </c>
      <c r="Z37" s="3">
        <f t="shared" si="136"/>
        <v>0</v>
      </c>
      <c r="AA37" s="3">
        <f t="shared" si="136"/>
        <v>0</v>
      </c>
      <c r="AB37" s="3">
        <f t="shared" si="136"/>
        <v>0</v>
      </c>
      <c r="AC37" s="3">
        <f t="shared" si="136"/>
        <v>0</v>
      </c>
    </row>
    <row r="38" spans="1:31" x14ac:dyDescent="0.2">
      <c r="A38" s="1" t="s">
        <v>51</v>
      </c>
      <c r="E38" s="3">
        <f t="shared" ref="E38:K38" si="137">+SUM(B37:E37)</f>
        <v>7396</v>
      </c>
      <c r="F38" s="3">
        <f t="shared" si="137"/>
        <v>7319</v>
      </c>
      <c r="G38" s="3">
        <f t="shared" si="137"/>
        <v>7423</v>
      </c>
      <c r="H38" s="3">
        <f t="shared" si="137"/>
        <v>7626</v>
      </c>
      <c r="I38" s="3">
        <f t="shared" si="137"/>
        <v>6942</v>
      </c>
      <c r="J38" s="3">
        <f t="shared" si="137"/>
        <v>6487</v>
      </c>
      <c r="K38" s="3">
        <f t="shared" si="137"/>
        <v>6450</v>
      </c>
      <c r="L38" s="3">
        <f>+SUM(I37:L37)</f>
        <v>6632</v>
      </c>
      <c r="M38" s="3">
        <f t="shared" ref="M38" si="138">+SUM(J37:M37)</f>
        <v>7955</v>
      </c>
      <c r="N38" s="3">
        <f t="shared" ref="N38" si="139">+SUM(K37:N37)</f>
        <v>9274</v>
      </c>
    </row>
    <row r="40" spans="1:31" x14ac:dyDescent="0.2">
      <c r="A40" s="1" t="s">
        <v>55</v>
      </c>
      <c r="B40" s="3"/>
      <c r="C40" s="3"/>
      <c r="D40" s="3"/>
      <c r="E40" s="3"/>
      <c r="F40" s="3">
        <v>1400</v>
      </c>
      <c r="G40" s="3">
        <v>1000</v>
      </c>
      <c r="H40" s="3">
        <v>1000</v>
      </c>
      <c r="I40" s="3">
        <v>1000</v>
      </c>
      <c r="J40" s="3">
        <v>2000</v>
      </c>
      <c r="K40" s="3">
        <v>2500</v>
      </c>
      <c r="L40" s="3">
        <v>2500</v>
      </c>
      <c r="M40" s="3">
        <v>2500</v>
      </c>
      <c r="N40" s="3">
        <v>3250</v>
      </c>
      <c r="O40" s="3"/>
      <c r="P40" s="3"/>
      <c r="Q40" s="3">
        <v>2050</v>
      </c>
      <c r="R40" s="3">
        <v>2750</v>
      </c>
      <c r="S40" s="3">
        <v>3050</v>
      </c>
      <c r="T40" s="3">
        <v>3950</v>
      </c>
      <c r="U40" s="3">
        <v>6550</v>
      </c>
      <c r="V40" s="3">
        <v>4400</v>
      </c>
      <c r="W40" s="3">
        <f>+SUM(J40:M40)</f>
        <v>9500</v>
      </c>
      <c r="X40" s="3"/>
      <c r="Y40" s="3"/>
      <c r="Z40" s="3"/>
      <c r="AA40" s="3"/>
      <c r="AB40" s="3"/>
      <c r="AC40" s="3"/>
      <c r="AD40" s="3"/>
      <c r="AE40" s="3"/>
    </row>
    <row r="42" spans="1:31" x14ac:dyDescent="0.2">
      <c r="A42" s="1" t="s">
        <v>59</v>
      </c>
      <c r="T42" s="3"/>
      <c r="U42" s="3"/>
      <c r="V42" s="3"/>
      <c r="W42" s="13">
        <f>7886-5628</f>
        <v>2258</v>
      </c>
      <c r="X42" s="3">
        <f>+W42+X25</f>
        <v>8540.3240000000005</v>
      </c>
      <c r="Y42" s="3">
        <f t="shared" ref="Y42:AE42" si="140">+X42+Y25</f>
        <v>16253.262228000003</v>
      </c>
      <c r="Z42" s="3">
        <f t="shared" si="140"/>
        <v>25630.376356116009</v>
      </c>
      <c r="AA42" s="3">
        <f t="shared" si="140"/>
        <v>36938.171810080865</v>
      </c>
      <c r="AB42" s="3">
        <f t="shared" si="140"/>
        <v>50480.377374487987</v>
      </c>
      <c r="AC42" s="3">
        <f t="shared" si="140"/>
        <v>66602.754556045184</v>
      </c>
      <c r="AD42" s="3">
        <f t="shared" si="140"/>
        <v>85698.500169138992</v>
      </c>
      <c r="AE42" s="3">
        <f t="shared" si="140"/>
        <v>108214.31305326201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2024-04-05T15:30:57Z</dcterms:created>
  <dcterms:modified xsi:type="dcterms:W3CDTF">2025-03-15T10:47:53Z</dcterms:modified>
</cp:coreProperties>
</file>