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202300"/>
  <mc:AlternateContent xmlns:mc="http://schemas.openxmlformats.org/markup-compatibility/2006">
    <mc:Choice Requires="x15">
      <x15ac:absPath xmlns:x15ac="http://schemas.microsoft.com/office/spreadsheetml/2010/11/ac" url="https://phdisegutl-my.sharepoint.com/personal/l59357_aln_iseg_ulisboa_pt/Documents/Desktop/Models/"/>
    </mc:Choice>
  </mc:AlternateContent>
  <xr:revisionPtr revIDLastSave="257" documentId="13_ncr:1_{B8E938FA-9053-4ACD-B70B-1D448207A8F5}" xr6:coauthVersionLast="47" xr6:coauthVersionMax="47" xr10:uidLastSave="{B87B75E1-FADA-44AB-BE8F-6489CCB2A5C0}"/>
  <bookViews>
    <workbookView xWindow="-14295" yWindow="-585" windowWidth="14400" windowHeight="15585" activeTab="1" xr2:uid="{5EDD389C-2F30-490D-9E71-4F512352957E}"/>
  </bookViews>
  <sheets>
    <sheet name="main" sheetId="1" r:id="rId1"/>
    <sheet name="model" sheetId="2" r:id="rId2"/>
    <sheet name="Managem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73" i="2" l="1"/>
  <c r="BK72" i="2"/>
  <c r="BK71" i="2"/>
  <c r="BK128" i="2"/>
  <c r="BJ128" i="2"/>
  <c r="BK110" i="2"/>
  <c r="BK101" i="2"/>
  <c r="BK94" i="2"/>
  <c r="BB48" i="2"/>
  <c r="BA48" i="2"/>
  <c r="AZ48" i="2"/>
  <c r="AY48" i="2"/>
  <c r="AX48" i="2"/>
  <c r="AW48" i="2"/>
  <c r="AV48" i="2"/>
  <c r="AU48" i="2"/>
  <c r="BB44" i="2"/>
  <c r="BA44" i="2"/>
  <c r="BC37" i="2"/>
  <c r="BB37" i="2"/>
  <c r="BA37" i="2"/>
  <c r="AZ37" i="2"/>
  <c r="AY37" i="2"/>
  <c r="AX37" i="2"/>
  <c r="AW37" i="2"/>
  <c r="AV37" i="2"/>
  <c r="AU37" i="2"/>
  <c r="BB1" i="2"/>
  <c r="BA1" i="2" s="1"/>
  <c r="AZ1" i="2" s="1"/>
  <c r="AY1" i="2" s="1"/>
  <c r="AX1" i="2" s="1"/>
  <c r="AW1" i="2" s="1"/>
  <c r="AV1" i="2" s="1"/>
  <c r="AU1" i="2" s="1"/>
  <c r="AT1" i="2" s="1"/>
  <c r="BK112" i="2" l="1"/>
  <c r="BK65" i="2"/>
  <c r="BK67" i="2" s="1"/>
  <c r="BK57" i="2"/>
  <c r="AL48" i="2"/>
  <c r="BK48" i="2" s="1"/>
  <c r="AL44" i="2"/>
  <c r="AL43" i="2"/>
  <c r="BK44" i="2"/>
  <c r="BK43" i="2"/>
  <c r="BK23" i="2"/>
  <c r="BK20" i="2"/>
  <c r="AL2" i="2"/>
  <c r="AL31" i="2" s="1"/>
  <c r="AL8" i="2"/>
  <c r="AL7" i="2"/>
  <c r="AL36" i="2" s="1"/>
  <c r="AL6" i="2"/>
  <c r="AL35" i="2" s="1"/>
  <c r="AL5" i="2"/>
  <c r="AL34" i="2" s="1"/>
  <c r="AL4" i="2"/>
  <c r="AL33" i="2" s="1"/>
  <c r="AL3" i="2"/>
  <c r="AL32" i="2" s="1"/>
  <c r="AL20" i="2"/>
  <c r="AL18" i="2"/>
  <c r="B5" i="1"/>
  <c r="AK48" i="2"/>
  <c r="BV6" i="2" s="1"/>
  <c r="AK20" i="2"/>
  <c r="AK44" i="2"/>
  <c r="AK43" i="2"/>
  <c r="AK36" i="2"/>
  <c r="AK35" i="2"/>
  <c r="AK34" i="2"/>
  <c r="AK33" i="2"/>
  <c r="AK32" i="2"/>
  <c r="AK31" i="2"/>
  <c r="AK18" i="2"/>
  <c r="AK10" i="2"/>
  <c r="AK13" i="2" s="1"/>
  <c r="AK28" i="2" s="1"/>
  <c r="BI128" i="2"/>
  <c r="BH128" i="2"/>
  <c r="BG128" i="2"/>
  <c r="BF128" i="2"/>
  <c r="BE128" i="2"/>
  <c r="BD128" i="2"/>
  <c r="BC128" i="2"/>
  <c r="AJ73" i="2"/>
  <c r="AB44" i="2"/>
  <c r="BJ48" i="2"/>
  <c r="BI48" i="2"/>
  <c r="BH48" i="2"/>
  <c r="BG48" i="2"/>
  <c r="BF48" i="2"/>
  <c r="BE48" i="2"/>
  <c r="BD48" i="2"/>
  <c r="BC48" i="2"/>
  <c r="BH110" i="2"/>
  <c r="BG110" i="2"/>
  <c r="BF110" i="2"/>
  <c r="BE110" i="2"/>
  <c r="BD110" i="2"/>
  <c r="BC110" i="2"/>
  <c r="BJ110" i="2"/>
  <c r="BI110" i="2"/>
  <c r="BF57" i="2"/>
  <c r="BJ101" i="2"/>
  <c r="BI101" i="2"/>
  <c r="BH101" i="2"/>
  <c r="BG101" i="2"/>
  <c r="BF101" i="2"/>
  <c r="BE101" i="2"/>
  <c r="BD101" i="2"/>
  <c r="BC101" i="2"/>
  <c r="BC94" i="2"/>
  <c r="BD57" i="2"/>
  <c r="BC57" i="2"/>
  <c r="BC65" i="2"/>
  <c r="BC67" i="2" s="1"/>
  <c r="BJ57" i="2"/>
  <c r="BI57" i="2"/>
  <c r="BH57" i="2"/>
  <c r="BG57" i="2"/>
  <c r="BE57" i="2"/>
  <c r="BJ65" i="2"/>
  <c r="BJ67" i="2" s="1"/>
  <c r="BI65" i="2"/>
  <c r="BI67" i="2" s="1"/>
  <c r="BH65" i="2"/>
  <c r="BH67" i="2" s="1"/>
  <c r="BG65" i="2"/>
  <c r="BG67" i="2" s="1"/>
  <c r="BF65" i="2"/>
  <c r="BF67" i="2" s="1"/>
  <c r="BE65" i="2"/>
  <c r="BE67" i="2" s="1"/>
  <c r="BD65" i="2"/>
  <c r="BD67" i="2" s="1"/>
  <c r="BG73" i="2"/>
  <c r="BG72" i="2"/>
  <c r="BG71" i="2"/>
  <c r="BH73" i="2"/>
  <c r="BH72" i="2"/>
  <c r="BH71" i="2"/>
  <c r="BI73" i="2"/>
  <c r="BI72" i="2"/>
  <c r="BI71" i="2"/>
  <c r="BJ73" i="2"/>
  <c r="BJ72" i="2"/>
  <c r="BJ71" i="2"/>
  <c r="X126" i="2"/>
  <c r="X125" i="2"/>
  <c r="X124" i="2"/>
  <c r="X123" i="2"/>
  <c r="X122" i="2"/>
  <c r="X121" i="2"/>
  <c r="X120" i="2"/>
  <c r="X119" i="2"/>
  <c r="X118" i="2"/>
  <c r="AB126" i="2"/>
  <c r="AB125" i="2"/>
  <c r="AB124" i="2"/>
  <c r="AB123" i="2"/>
  <c r="AB122" i="2"/>
  <c r="AB121" i="2"/>
  <c r="AB120" i="2"/>
  <c r="AB119" i="2"/>
  <c r="AB118" i="2"/>
  <c r="AF126" i="2"/>
  <c r="AF125" i="2"/>
  <c r="AF124" i="2"/>
  <c r="AF123" i="2"/>
  <c r="AF122" i="2"/>
  <c r="AF121" i="2"/>
  <c r="AF120" i="2"/>
  <c r="AF119" i="2"/>
  <c r="AF118" i="2"/>
  <c r="AJ126" i="2"/>
  <c r="AJ125" i="2"/>
  <c r="AJ124" i="2"/>
  <c r="AJ123" i="2"/>
  <c r="AJ122" i="2"/>
  <c r="AJ121" i="2"/>
  <c r="AJ120" i="2"/>
  <c r="AJ119" i="2"/>
  <c r="AJ118" i="2"/>
  <c r="BL16" i="2"/>
  <c r="BM16" i="2" s="1"/>
  <c r="BN16" i="2" s="1"/>
  <c r="BO16" i="2" s="1"/>
  <c r="BP16" i="2" s="1"/>
  <c r="BQ16" i="2" s="1"/>
  <c r="BR16" i="2" s="1"/>
  <c r="BS16" i="2" s="1"/>
  <c r="BL7" i="2"/>
  <c r="BM7" i="2" s="1"/>
  <c r="BN7" i="2" s="1"/>
  <c r="BO7" i="2" s="1"/>
  <c r="BP7" i="2" s="1"/>
  <c r="BQ7" i="2" s="1"/>
  <c r="BR7" i="2" s="1"/>
  <c r="AJ72" i="2"/>
  <c r="AJ71" i="2"/>
  <c r="AJ48" i="2"/>
  <c r="AJ23" i="2"/>
  <c r="AJ20" i="2"/>
  <c r="AJ44" i="2"/>
  <c r="AJ43" i="2"/>
  <c r="AJ36" i="2"/>
  <c r="AJ35" i="2"/>
  <c r="AJ34" i="2"/>
  <c r="AJ33" i="2"/>
  <c r="AJ32" i="2"/>
  <c r="AJ31" i="2"/>
  <c r="AJ18" i="2"/>
  <c r="AJ10" i="2"/>
  <c r="AJ13" i="2" s="1"/>
  <c r="BE77" i="2"/>
  <c r="BF77" i="2"/>
  <c r="BG77" i="2"/>
  <c r="BH77" i="2"/>
  <c r="BE78" i="2"/>
  <c r="BF78" i="2"/>
  <c r="BG78" i="2"/>
  <c r="BH78" i="2"/>
  <c r="BE79" i="2"/>
  <c r="BF79" i="2"/>
  <c r="BG79" i="2"/>
  <c r="BH79" i="2"/>
  <c r="BD73" i="2"/>
  <c r="BD72" i="2"/>
  <c r="BD71" i="2"/>
  <c r="BE73" i="2"/>
  <c r="BE72" i="2"/>
  <c r="BE71" i="2"/>
  <c r="BF73" i="2"/>
  <c r="BF72" i="2"/>
  <c r="BF71" i="2"/>
  <c r="BD23" i="2"/>
  <c r="BD20" i="2"/>
  <c r="BD25" i="2"/>
  <c r="BE25" i="2"/>
  <c r="BE23" i="2"/>
  <c r="BE20" i="2"/>
  <c r="S25" i="2"/>
  <c r="O25" i="2"/>
  <c r="O23" i="2"/>
  <c r="O20" i="2"/>
  <c r="S23" i="2"/>
  <c r="S20" i="2"/>
  <c r="BJ18" i="2"/>
  <c r="BI18" i="2"/>
  <c r="BH18" i="2"/>
  <c r="BG18" i="2"/>
  <c r="BF18" i="2"/>
  <c r="BE18" i="2"/>
  <c r="BD18" i="2"/>
  <c r="BC18" i="2"/>
  <c r="P73" i="2"/>
  <c r="P72" i="2"/>
  <c r="P71" i="2"/>
  <c r="T73" i="2"/>
  <c r="T72" i="2"/>
  <c r="T71" i="2"/>
  <c r="P48" i="2"/>
  <c r="T48" i="2"/>
  <c r="T25" i="2"/>
  <c r="P25" i="2"/>
  <c r="P23" i="2"/>
  <c r="T23" i="2"/>
  <c r="P20" i="2"/>
  <c r="T20" i="2"/>
  <c r="T18" i="2"/>
  <c r="S18" i="2"/>
  <c r="R18" i="2"/>
  <c r="Q18" i="2"/>
  <c r="P18" i="2"/>
  <c r="O18" i="2"/>
  <c r="N18" i="2"/>
  <c r="M18" i="2"/>
  <c r="L18" i="2"/>
  <c r="K18" i="2"/>
  <c r="J18" i="2"/>
  <c r="I18" i="2"/>
  <c r="H18" i="2"/>
  <c r="G18" i="2"/>
  <c r="F18" i="2"/>
  <c r="E18" i="2"/>
  <c r="D18" i="2"/>
  <c r="C18" i="2"/>
  <c r="AI18" i="2"/>
  <c r="AH18" i="2"/>
  <c r="AG18" i="2"/>
  <c r="AF18" i="2"/>
  <c r="AE18" i="2"/>
  <c r="AD18" i="2"/>
  <c r="AC18" i="2"/>
  <c r="AB18" i="2"/>
  <c r="AA18" i="2"/>
  <c r="Z18" i="2"/>
  <c r="Y18" i="2"/>
  <c r="X18" i="2"/>
  <c r="W18" i="2"/>
  <c r="V18" i="2"/>
  <c r="U18" i="2"/>
  <c r="Y25" i="2"/>
  <c r="U25" i="2"/>
  <c r="U23" i="2"/>
  <c r="U20" i="2"/>
  <c r="Y20" i="2"/>
  <c r="AD36" i="2"/>
  <c r="AC36" i="2"/>
  <c r="AB36" i="2"/>
  <c r="AA36" i="2"/>
  <c r="Z36" i="2"/>
  <c r="Y36" i="2"/>
  <c r="X36" i="2"/>
  <c r="W36" i="2"/>
  <c r="T36" i="2"/>
  <c r="S36" i="2"/>
  <c r="AD35" i="2"/>
  <c r="AC35" i="2"/>
  <c r="AB35" i="2"/>
  <c r="AA35" i="2"/>
  <c r="Z35" i="2"/>
  <c r="Y35" i="2"/>
  <c r="X35" i="2"/>
  <c r="W35" i="2"/>
  <c r="T35" i="2"/>
  <c r="S35" i="2"/>
  <c r="AD34" i="2"/>
  <c r="AC34" i="2"/>
  <c r="AB34" i="2"/>
  <c r="AA34" i="2"/>
  <c r="Z34" i="2"/>
  <c r="AD33" i="2"/>
  <c r="AC33" i="2"/>
  <c r="AB33" i="2"/>
  <c r="AA33" i="2"/>
  <c r="Z33" i="2"/>
  <c r="Y33" i="2"/>
  <c r="X33" i="2"/>
  <c r="W33" i="2"/>
  <c r="T33" i="2"/>
  <c r="S33" i="2"/>
  <c r="AD32" i="2"/>
  <c r="AC32" i="2"/>
  <c r="AB32" i="2"/>
  <c r="AA32" i="2"/>
  <c r="Z32" i="2"/>
  <c r="Y32" i="2"/>
  <c r="X32" i="2"/>
  <c r="W32" i="2"/>
  <c r="T32" i="2"/>
  <c r="S32" i="2"/>
  <c r="AD31" i="2"/>
  <c r="AC31" i="2"/>
  <c r="AB31" i="2"/>
  <c r="AA31" i="2"/>
  <c r="Z31" i="2"/>
  <c r="Y31" i="2"/>
  <c r="X31" i="2"/>
  <c r="W31" i="2"/>
  <c r="T31" i="2"/>
  <c r="S31" i="2"/>
  <c r="BH36" i="2"/>
  <c r="BG36" i="2"/>
  <c r="BF36" i="2"/>
  <c r="BE36" i="2"/>
  <c r="BH35" i="2"/>
  <c r="BG35" i="2"/>
  <c r="BF35" i="2"/>
  <c r="BE35" i="2"/>
  <c r="BH34" i="2"/>
  <c r="BG34" i="2"/>
  <c r="BF34" i="2"/>
  <c r="BH33" i="2"/>
  <c r="BG33" i="2"/>
  <c r="BF33" i="2"/>
  <c r="BE33" i="2"/>
  <c r="BH32" i="2"/>
  <c r="BG32" i="2"/>
  <c r="BF32" i="2"/>
  <c r="BE32" i="2"/>
  <c r="BH31" i="2"/>
  <c r="BG31" i="2"/>
  <c r="BF31" i="2"/>
  <c r="BE31" i="2"/>
  <c r="BF25" i="2"/>
  <c r="BG25" i="2"/>
  <c r="BF20" i="2"/>
  <c r="BG23" i="2"/>
  <c r="BG20" i="2"/>
  <c r="V48" i="2"/>
  <c r="Z48" i="2"/>
  <c r="V73" i="2"/>
  <c r="V72" i="2"/>
  <c r="Z73" i="2"/>
  <c r="Z72" i="2"/>
  <c r="V71" i="2"/>
  <c r="Z71" i="2"/>
  <c r="V25" i="2"/>
  <c r="V23" i="2"/>
  <c r="V20" i="2"/>
  <c r="Z25" i="2"/>
  <c r="Z20" i="2"/>
  <c r="Y44" i="2"/>
  <c r="X44" i="2"/>
  <c r="W44" i="2"/>
  <c r="V44" i="2"/>
  <c r="U44" i="2"/>
  <c r="T44" i="2"/>
  <c r="S44" i="2"/>
  <c r="R44" i="2"/>
  <c r="Q44" i="2"/>
  <c r="P44" i="2"/>
  <c r="O44" i="2"/>
  <c r="N44" i="2"/>
  <c r="M44" i="2"/>
  <c r="L44" i="2"/>
  <c r="K44" i="2"/>
  <c r="J44" i="2"/>
  <c r="I44" i="2"/>
  <c r="H44" i="2"/>
  <c r="G44" i="2"/>
  <c r="F44" i="2"/>
  <c r="E44" i="2"/>
  <c r="D44" i="2"/>
  <c r="C44" i="2"/>
  <c r="Y43" i="2"/>
  <c r="X43" i="2"/>
  <c r="W43" i="2"/>
  <c r="V43" i="2"/>
  <c r="U43" i="2"/>
  <c r="T43" i="2"/>
  <c r="S43" i="2"/>
  <c r="R43" i="2"/>
  <c r="Q43" i="2"/>
  <c r="P43" i="2"/>
  <c r="O43" i="2"/>
  <c r="N43" i="2"/>
  <c r="M43" i="2"/>
  <c r="L43" i="2"/>
  <c r="K43" i="2"/>
  <c r="J43" i="2"/>
  <c r="I43" i="2"/>
  <c r="H43" i="2"/>
  <c r="G43" i="2"/>
  <c r="F43" i="2"/>
  <c r="E43" i="2"/>
  <c r="D43" i="2"/>
  <c r="C43" i="2"/>
  <c r="Y10" i="2"/>
  <c r="Y13" i="2" s="1"/>
  <c r="Y28" i="2" s="1"/>
  <c r="X10" i="2"/>
  <c r="X13" i="2" s="1"/>
  <c r="W10" i="2"/>
  <c r="W13" i="2" s="1"/>
  <c r="V10" i="2"/>
  <c r="V13" i="2" s="1"/>
  <c r="U10" i="2"/>
  <c r="U13" i="2" s="1"/>
  <c r="U28" i="2" s="1"/>
  <c r="T10" i="2"/>
  <c r="T13" i="2" s="1"/>
  <c r="T28" i="2" s="1"/>
  <c r="S10" i="2"/>
  <c r="S13" i="2" s="1"/>
  <c r="S28" i="2" s="1"/>
  <c r="R10" i="2"/>
  <c r="R13" i="2" s="1"/>
  <c r="Q10" i="2"/>
  <c r="Q13" i="2" s="1"/>
  <c r="P10" i="2"/>
  <c r="P13" i="2" s="1"/>
  <c r="P28" i="2" s="1"/>
  <c r="O10" i="2"/>
  <c r="O13" i="2" s="1"/>
  <c r="O28" i="2" s="1"/>
  <c r="N10" i="2"/>
  <c r="M10" i="2"/>
  <c r="M13" i="2" s="1"/>
  <c r="L10" i="2"/>
  <c r="L13" i="2" s="1"/>
  <c r="K10" i="2"/>
  <c r="K13" i="2" s="1"/>
  <c r="J10" i="2"/>
  <c r="J13" i="2" s="1"/>
  <c r="I10" i="2"/>
  <c r="H10" i="2"/>
  <c r="H13" i="2" s="1"/>
  <c r="G10" i="2"/>
  <c r="G13" i="2" s="1"/>
  <c r="F10" i="2"/>
  <c r="F13" i="2" s="1"/>
  <c r="E10" i="2"/>
  <c r="E13" i="2" s="1"/>
  <c r="D10" i="2"/>
  <c r="D13" i="2" s="1"/>
  <c r="C10" i="2"/>
  <c r="Z44" i="2"/>
  <c r="Z43" i="2"/>
  <c r="Z10" i="2"/>
  <c r="BC44" i="2"/>
  <c r="BC43" i="2"/>
  <c r="BC13" i="2"/>
  <c r="BD43" i="2"/>
  <c r="BD10" i="2"/>
  <c r="BE43" i="2"/>
  <c r="BE10" i="2"/>
  <c r="BE13" i="2" s="1"/>
  <c r="BE28" i="2" s="1"/>
  <c r="BF43" i="2"/>
  <c r="BF10" i="2"/>
  <c r="BF13" i="2" s="1"/>
  <c r="BF28" i="2" s="1"/>
  <c r="BG44" i="2"/>
  <c r="BG43" i="2"/>
  <c r="BG10" i="2"/>
  <c r="BG13" i="2" s="1"/>
  <c r="BJ79" i="2"/>
  <c r="BJ78" i="2"/>
  <c r="BJ77" i="2"/>
  <c r="BI79" i="2"/>
  <c r="BI78" i="2"/>
  <c r="BI77" i="2"/>
  <c r="AA73" i="2"/>
  <c r="AA72" i="2"/>
  <c r="AA71" i="2"/>
  <c r="AA25" i="2"/>
  <c r="AA48" i="2"/>
  <c r="AA20" i="2"/>
  <c r="BK35" i="2"/>
  <c r="BK33" i="2"/>
  <c r="BK31" i="2"/>
  <c r="BJ31" i="2"/>
  <c r="BJ32" i="2"/>
  <c r="BJ33" i="2"/>
  <c r="BJ34" i="2"/>
  <c r="BJ35" i="2"/>
  <c r="BJ36" i="2"/>
  <c r="BK77" i="2"/>
  <c r="BI36" i="2"/>
  <c r="BK34" i="2"/>
  <c r="BK32" i="2"/>
  <c r="BL25" i="2"/>
  <c r="BM25" i="2" s="1"/>
  <c r="BK1" i="2"/>
  <c r="BL1" i="2" s="1"/>
  <c r="BM1" i="2" s="1"/>
  <c r="BN1" i="2" s="1"/>
  <c r="BO1" i="2" s="1"/>
  <c r="BP1" i="2" s="1"/>
  <c r="BQ1" i="2" s="1"/>
  <c r="BR1" i="2" s="1"/>
  <c r="BS1" i="2" s="1"/>
  <c r="BD13" i="2" l="1"/>
  <c r="BD28" i="2" s="1"/>
  <c r="BD37" i="2"/>
  <c r="BS7" i="2"/>
  <c r="BR36" i="2"/>
  <c r="Z46" i="2"/>
  <c r="Y46" i="2"/>
  <c r="AL10" i="2"/>
  <c r="AK19" i="2"/>
  <c r="AK29" i="2" s="1"/>
  <c r="BC112" i="2"/>
  <c r="BK78" i="2"/>
  <c r="V19" i="2"/>
  <c r="V29" i="2" s="1"/>
  <c r="X19" i="2"/>
  <c r="X29" i="2" s="1"/>
  <c r="W19" i="2"/>
  <c r="W22" i="2" s="1"/>
  <c r="W24" i="2" s="1"/>
  <c r="W26" i="2" s="1"/>
  <c r="BC22" i="2"/>
  <c r="BG28" i="2"/>
  <c r="BG19" i="2"/>
  <c r="BG22" i="2" s="1"/>
  <c r="BG24" i="2" s="1"/>
  <c r="BG69" i="2" s="1"/>
  <c r="V28" i="2"/>
  <c r="W28" i="2"/>
  <c r="X28" i="2"/>
  <c r="AJ28" i="2"/>
  <c r="AJ19" i="2"/>
  <c r="BK36" i="2"/>
  <c r="BD19" i="2"/>
  <c r="BD22" i="2" s="1"/>
  <c r="BD24" i="2" s="1"/>
  <c r="BD69" i="2" s="1"/>
  <c r="BF19" i="2"/>
  <c r="BE19" i="2"/>
  <c r="Z37" i="2"/>
  <c r="U19" i="2"/>
  <c r="U22" i="2" s="1"/>
  <c r="F19" i="2"/>
  <c r="Y19" i="2"/>
  <c r="Y29" i="2" s="1"/>
  <c r="G19" i="2"/>
  <c r="H19" i="2"/>
  <c r="H22" i="2" s="1"/>
  <c r="H24" i="2" s="1"/>
  <c r="O19" i="2"/>
  <c r="O22" i="2" s="1"/>
  <c r="O24" i="2" s="1"/>
  <c r="O26" i="2" s="1"/>
  <c r="Z13" i="2"/>
  <c r="I13" i="2"/>
  <c r="Q19" i="2"/>
  <c r="Q22" i="2" s="1"/>
  <c r="Q24" i="2" s="1"/>
  <c r="J19" i="2"/>
  <c r="J22" i="2" s="1"/>
  <c r="J24" i="2" s="1"/>
  <c r="K19" i="2"/>
  <c r="D19" i="2"/>
  <c r="D22" i="2" s="1"/>
  <c r="D24" i="2" s="1"/>
  <c r="L19" i="2"/>
  <c r="L22" i="2" s="1"/>
  <c r="L24" i="2" s="1"/>
  <c r="C13" i="2"/>
  <c r="E19" i="2"/>
  <c r="E22" i="2" s="1"/>
  <c r="E24" i="2" s="1"/>
  <c r="M19" i="2"/>
  <c r="R19" i="2"/>
  <c r="R22" i="2" s="1"/>
  <c r="R24" i="2" s="1"/>
  <c r="S19" i="2"/>
  <c r="S22" i="2" s="1"/>
  <c r="S24" i="2" s="1"/>
  <c r="S26" i="2" s="1"/>
  <c r="N13" i="2"/>
  <c r="P19" i="2"/>
  <c r="P29" i="2" s="1"/>
  <c r="T19" i="2"/>
  <c r="T22" i="2" s="1"/>
  <c r="T24" i="2" s="1"/>
  <c r="T26" i="2" s="1"/>
  <c r="BG37" i="2"/>
  <c r="BE37" i="2"/>
  <c r="BF37" i="2"/>
  <c r="X37" i="2"/>
  <c r="T37" i="2"/>
  <c r="S37" i="2"/>
  <c r="W37" i="2"/>
  <c r="Y37" i="2"/>
  <c r="BL4" i="2"/>
  <c r="BM4" i="2" s="1"/>
  <c r="BL2" i="2"/>
  <c r="BL15" i="2"/>
  <c r="BL3" i="2"/>
  <c r="BM3" i="2" s="1"/>
  <c r="BN3" i="2" s="1"/>
  <c r="BL6" i="2"/>
  <c r="BK10" i="2"/>
  <c r="BK79" i="2" s="1"/>
  <c r="BL5" i="2"/>
  <c r="BN25" i="2"/>
  <c r="AE72" i="2"/>
  <c r="AI72" i="2"/>
  <c r="AE71" i="2"/>
  <c r="AI71" i="2"/>
  <c r="AE73" i="2"/>
  <c r="AI73" i="2"/>
  <c r="BJ44" i="2"/>
  <c r="BI44" i="2"/>
  <c r="BH44" i="2"/>
  <c r="BJ43" i="2"/>
  <c r="BI43" i="2"/>
  <c r="BH43" i="2"/>
  <c r="BJ20" i="2"/>
  <c r="BI20" i="2"/>
  <c r="BH20" i="2"/>
  <c r="BI35" i="2"/>
  <c r="BI34" i="2"/>
  <c r="BI33" i="2"/>
  <c r="BI32" i="2"/>
  <c r="BI31" i="2"/>
  <c r="BJ10" i="2"/>
  <c r="BJ13" i="2" s="1"/>
  <c r="BJ28" i="2" s="1"/>
  <c r="BI10" i="2"/>
  <c r="BI13" i="2" s="1"/>
  <c r="BH10" i="2"/>
  <c r="AD20" i="2"/>
  <c r="AH20" i="2"/>
  <c r="AE48" i="2"/>
  <c r="AD48" i="2"/>
  <c r="AH48" i="2"/>
  <c r="AC48" i="2"/>
  <c r="AG48" i="2"/>
  <c r="AC20" i="2"/>
  <c r="AG20" i="2"/>
  <c r="AB48" i="2"/>
  <c r="AF48" i="2"/>
  <c r="AB20" i="2"/>
  <c r="AF20" i="2"/>
  <c r="AH36" i="2"/>
  <c r="AG36" i="2"/>
  <c r="AF36" i="2"/>
  <c r="AE36" i="2"/>
  <c r="AH35" i="2"/>
  <c r="AG35" i="2"/>
  <c r="AF35" i="2"/>
  <c r="AE35" i="2"/>
  <c r="AH34" i="2"/>
  <c r="AG34" i="2"/>
  <c r="AF34" i="2"/>
  <c r="AE34" i="2"/>
  <c r="AH33" i="2"/>
  <c r="AG33" i="2"/>
  <c r="AF33" i="2"/>
  <c r="AE33" i="2"/>
  <c r="AH32" i="2"/>
  <c r="AG32" i="2"/>
  <c r="AF32" i="2"/>
  <c r="AE32" i="2"/>
  <c r="AH31" i="2"/>
  <c r="AG31" i="2"/>
  <c r="AF31" i="2"/>
  <c r="AE31" i="2"/>
  <c r="AI36" i="2"/>
  <c r="AI35" i="2"/>
  <c r="AI34" i="2"/>
  <c r="AI33" i="2"/>
  <c r="AI32" i="2"/>
  <c r="AI31" i="2"/>
  <c r="AI48" i="2"/>
  <c r="AD44" i="2"/>
  <c r="AC44" i="2"/>
  <c r="AA44" i="2"/>
  <c r="AD46" i="2" s="1"/>
  <c r="AI44" i="2"/>
  <c r="AL46" i="2" s="1"/>
  <c r="AH44" i="2"/>
  <c r="AG44" i="2"/>
  <c r="AF44" i="2"/>
  <c r="AE44" i="2"/>
  <c r="AH43" i="2"/>
  <c r="AG43" i="2"/>
  <c r="AF43" i="2"/>
  <c r="AE43" i="2"/>
  <c r="AD43" i="2"/>
  <c r="AC43" i="2"/>
  <c r="AB43" i="2"/>
  <c r="AA43" i="2"/>
  <c r="AI43" i="2"/>
  <c r="AI20" i="2"/>
  <c r="AE20" i="2"/>
  <c r="AE10" i="2"/>
  <c r="AE13" i="2" s="1"/>
  <c r="AD10" i="2"/>
  <c r="AC10" i="2"/>
  <c r="AB10" i="2"/>
  <c r="AA10" i="2"/>
  <c r="AI10" i="2"/>
  <c r="AI13" i="2" s="1"/>
  <c r="AH10" i="2"/>
  <c r="AH13" i="2" s="1"/>
  <c r="AG10" i="2"/>
  <c r="AG13" i="2" s="1"/>
  <c r="AF10" i="2"/>
  <c r="AF13" i="2" s="1"/>
  <c r="B4" i="1"/>
  <c r="B7" i="1" s="1"/>
  <c r="AK46" i="2" l="1"/>
  <c r="AK37" i="2"/>
  <c r="AL13" i="2"/>
  <c r="AL37" i="2"/>
  <c r="G9" i="1"/>
  <c r="G10" i="1"/>
  <c r="BS36" i="2"/>
  <c r="AK22" i="2"/>
  <c r="AK24" i="2" s="1"/>
  <c r="AK26" i="2" s="1"/>
  <c r="AB46" i="2"/>
  <c r="AA46" i="2"/>
  <c r="AC46" i="2"/>
  <c r="BG26" i="2"/>
  <c r="BG83" i="2"/>
  <c r="BG94" i="2" s="1"/>
  <c r="BG112" i="2" s="1"/>
  <c r="BD26" i="2"/>
  <c r="BD83" i="2"/>
  <c r="BD94" i="2" s="1"/>
  <c r="W29" i="2"/>
  <c r="X22" i="2"/>
  <c r="X24" i="2" s="1"/>
  <c r="X26" i="2" s="1"/>
  <c r="BM2" i="2"/>
  <c r="BN2" i="2" s="1"/>
  <c r="BO2" i="2" s="1"/>
  <c r="BP2" i="2" s="1"/>
  <c r="BQ2" i="2" s="1"/>
  <c r="BR2" i="2" s="1"/>
  <c r="U29" i="2"/>
  <c r="BK18" i="2"/>
  <c r="AJ46" i="2"/>
  <c r="N19" i="2"/>
  <c r="N22" i="2" s="1"/>
  <c r="N24" i="2" s="1"/>
  <c r="BE22" i="2"/>
  <c r="BE24" i="2" s="1"/>
  <c r="BE69" i="2" s="1"/>
  <c r="BE81" i="2"/>
  <c r="AG19" i="2"/>
  <c r="AG28" i="2"/>
  <c r="BI28" i="2"/>
  <c r="BI19" i="2"/>
  <c r="BI29" i="2" s="1"/>
  <c r="BF29" i="2"/>
  <c r="BF81" i="2"/>
  <c r="BG81" i="2"/>
  <c r="I19" i="2"/>
  <c r="I22" i="2" s="1"/>
  <c r="I24" i="2" s="1"/>
  <c r="AE19" i="2"/>
  <c r="AE22" i="2" s="1"/>
  <c r="AE24" i="2" s="1"/>
  <c r="AE26" i="2" s="1"/>
  <c r="AE28" i="2"/>
  <c r="AH19" i="2"/>
  <c r="AH22" i="2" s="1"/>
  <c r="AH24" i="2" s="1"/>
  <c r="AH26" i="2" s="1"/>
  <c r="AH28" i="2"/>
  <c r="Z19" i="2"/>
  <c r="Z29" i="2" s="1"/>
  <c r="Z28" i="2"/>
  <c r="BH37" i="2"/>
  <c r="BH13" i="2"/>
  <c r="C19" i="2"/>
  <c r="C22" i="2" s="1"/>
  <c r="C24" i="2" s="1"/>
  <c r="BJ19" i="2"/>
  <c r="BJ29" i="2" s="1"/>
  <c r="AF19" i="2"/>
  <c r="AF28" i="2"/>
  <c r="AJ37" i="2"/>
  <c r="AJ29" i="2"/>
  <c r="AJ22" i="2"/>
  <c r="AJ24" i="2" s="1"/>
  <c r="AJ26" i="2" s="1"/>
  <c r="AI19" i="2"/>
  <c r="AI22" i="2" s="1"/>
  <c r="AI28" i="2"/>
  <c r="G22" i="2"/>
  <c r="G24" i="2" s="1"/>
  <c r="S29" i="2"/>
  <c r="O29" i="2"/>
  <c r="AA37" i="2"/>
  <c r="AA13" i="2"/>
  <c r="AC37" i="2"/>
  <c r="AC13" i="2"/>
  <c r="AB37" i="2"/>
  <c r="AB13" i="2"/>
  <c r="AD37" i="2"/>
  <c r="AD13" i="2"/>
  <c r="P22" i="2"/>
  <c r="P24" i="2" s="1"/>
  <c r="P26" i="2" s="1"/>
  <c r="T38" i="2" s="1"/>
  <c r="F22" i="2"/>
  <c r="F24" i="2" s="1"/>
  <c r="K22" i="2"/>
  <c r="K24" i="2" s="1"/>
  <c r="T29" i="2"/>
  <c r="V22" i="2"/>
  <c r="V24" i="2" s="1"/>
  <c r="V26" i="2" s="1"/>
  <c r="S38" i="2"/>
  <c r="M22" i="2"/>
  <c r="M24" i="2" s="1"/>
  <c r="U24" i="2"/>
  <c r="U26" i="2" s="1"/>
  <c r="Y22" i="2"/>
  <c r="Y24" i="2" s="1"/>
  <c r="Y26" i="2" s="1"/>
  <c r="BD29" i="2"/>
  <c r="BG29" i="2"/>
  <c r="AE46" i="2"/>
  <c r="BF22" i="2"/>
  <c r="BF24" i="2" s="1"/>
  <c r="BF69" i="2" s="1"/>
  <c r="AF46" i="2"/>
  <c r="BE29" i="2"/>
  <c r="BM32" i="2"/>
  <c r="AI37" i="2"/>
  <c r="BL32" i="2"/>
  <c r="BL33" i="2"/>
  <c r="AH46" i="2"/>
  <c r="AG46" i="2"/>
  <c r="AI46" i="2"/>
  <c r="BI37" i="2"/>
  <c r="BJ37" i="2"/>
  <c r="BL78" i="2"/>
  <c r="BM15" i="2"/>
  <c r="BL77" i="2"/>
  <c r="BM33" i="2"/>
  <c r="BL35" i="2"/>
  <c r="BM6" i="2"/>
  <c r="BL36" i="2"/>
  <c r="BL31" i="2"/>
  <c r="BL10" i="2"/>
  <c r="BL34" i="2"/>
  <c r="BM5" i="2"/>
  <c r="BO3" i="2"/>
  <c r="BN32" i="2"/>
  <c r="BK37" i="2"/>
  <c r="BO25" i="2"/>
  <c r="AE37" i="2"/>
  <c r="AH37" i="2"/>
  <c r="AG37" i="2"/>
  <c r="AF37" i="2"/>
  <c r="BS2" i="2" l="1"/>
  <c r="BR31" i="2"/>
  <c r="AL19" i="2"/>
  <c r="AL28" i="2"/>
  <c r="BD112" i="2"/>
  <c r="BD44" i="2"/>
  <c r="BE26" i="2"/>
  <c r="BE38" i="2" s="1"/>
  <c r="BE83" i="2"/>
  <c r="BE94" i="2" s="1"/>
  <c r="BF26" i="2"/>
  <c r="BG38" i="2" s="1"/>
  <c r="BF94" i="2"/>
  <c r="Z22" i="2"/>
  <c r="Z24" i="2" s="1"/>
  <c r="Z26" i="2" s="1"/>
  <c r="Z38" i="2" s="1"/>
  <c r="BK13" i="2"/>
  <c r="BK28" i="2" s="1"/>
  <c r="BL14" i="2"/>
  <c r="BL79" i="2" s="1"/>
  <c r="BL11" i="2"/>
  <c r="BH28" i="2"/>
  <c r="BH19" i="2"/>
  <c r="BI81" i="2" s="1"/>
  <c r="AD19" i="2"/>
  <c r="AD29" i="2" s="1"/>
  <c r="AD28" i="2"/>
  <c r="AB19" i="2"/>
  <c r="AB22" i="2" s="1"/>
  <c r="AB24" i="2" s="1"/>
  <c r="AB26" i="2" s="1"/>
  <c r="AB28" i="2"/>
  <c r="AA19" i="2"/>
  <c r="AA22" i="2" s="1"/>
  <c r="AA24" i="2" s="1"/>
  <c r="AA26" i="2" s="1"/>
  <c r="AA28" i="2"/>
  <c r="AC19" i="2"/>
  <c r="AC22" i="2" s="1"/>
  <c r="AC24" i="2" s="1"/>
  <c r="AC26" i="2" s="1"/>
  <c r="AC38" i="2" s="1"/>
  <c r="AC28" i="2"/>
  <c r="BJ81" i="2"/>
  <c r="BJ22" i="2"/>
  <c r="BJ24" i="2" s="1"/>
  <c r="BJ69" i="2" s="1"/>
  <c r="BI22" i="2"/>
  <c r="BI24" i="2" s="1"/>
  <c r="BI69" i="2" s="1"/>
  <c r="BN15" i="2"/>
  <c r="BM77" i="2"/>
  <c r="BL12" i="2"/>
  <c r="BM78" i="2"/>
  <c r="BN4" i="2"/>
  <c r="BN33" i="2" s="1"/>
  <c r="BM34" i="2"/>
  <c r="BN5" i="2"/>
  <c r="BM35" i="2"/>
  <c r="BN6" i="2"/>
  <c r="BM31" i="2"/>
  <c r="BM10" i="2"/>
  <c r="BM14" i="2" s="1"/>
  <c r="BP3" i="2"/>
  <c r="BQ3" i="2" s="1"/>
  <c r="BR3" i="2" s="1"/>
  <c r="BO32" i="2"/>
  <c r="BM36" i="2"/>
  <c r="BL37" i="2"/>
  <c r="BP25" i="2"/>
  <c r="AH29" i="2"/>
  <c r="AE29" i="2"/>
  <c r="AG22" i="2"/>
  <c r="AG24" i="2" s="1"/>
  <c r="AG26" i="2" s="1"/>
  <c r="AK38" i="2" s="1"/>
  <c r="AG29" i="2"/>
  <c r="AF22" i="2"/>
  <c r="AF24" i="2" s="1"/>
  <c r="AF26" i="2" s="1"/>
  <c r="AJ38" i="2" s="1"/>
  <c r="AF29" i="2"/>
  <c r="AI24" i="2"/>
  <c r="AI26" i="2" s="1"/>
  <c r="AI38" i="2" s="1"/>
  <c r="AI29" i="2"/>
  <c r="BS3" i="2" l="1"/>
  <c r="BS32" i="2" s="1"/>
  <c r="BR32" i="2"/>
  <c r="AL22" i="2"/>
  <c r="AL24" i="2" s="1"/>
  <c r="AL26" i="2" s="1"/>
  <c r="AL38" i="2" s="1"/>
  <c r="AL29" i="2"/>
  <c r="BS31" i="2"/>
  <c r="BE112" i="2"/>
  <c r="BE44" i="2"/>
  <c r="BF112" i="2"/>
  <c r="BF44" i="2"/>
  <c r="BI26" i="2"/>
  <c r="BI83" i="2"/>
  <c r="BI94" i="2" s="1"/>
  <c r="BI112" i="2" s="1"/>
  <c r="BJ26" i="2"/>
  <c r="BJ83" i="2"/>
  <c r="BJ94" i="2" s="1"/>
  <c r="BJ112" i="2" s="1"/>
  <c r="BF38" i="2"/>
  <c r="BK19" i="2"/>
  <c r="BK81" i="2" s="1"/>
  <c r="BM79" i="2"/>
  <c r="BH22" i="2"/>
  <c r="BH24" i="2" s="1"/>
  <c r="BH69" i="2" s="1"/>
  <c r="AD22" i="2"/>
  <c r="AD24" i="2" s="1"/>
  <c r="AD26" i="2" s="1"/>
  <c r="AH38" i="2" s="1"/>
  <c r="BL18" i="2"/>
  <c r="AA29" i="2"/>
  <c r="BM18" i="2"/>
  <c r="AB29" i="2"/>
  <c r="AC29" i="2"/>
  <c r="BH81" i="2"/>
  <c r="BH29" i="2"/>
  <c r="BL13" i="2"/>
  <c r="BL28" i="2" s="1"/>
  <c r="BM11" i="2"/>
  <c r="AE38" i="2"/>
  <c r="BN78" i="2"/>
  <c r="BO15" i="2"/>
  <c r="BN77" i="2"/>
  <c r="BM12" i="2"/>
  <c r="BO4" i="2"/>
  <c r="BO33" i="2" s="1"/>
  <c r="BN10" i="2"/>
  <c r="BN14" i="2" s="1"/>
  <c r="BN79" i="2" s="1"/>
  <c r="BN31" i="2"/>
  <c r="BN35" i="2"/>
  <c r="BO6" i="2"/>
  <c r="BN36" i="2"/>
  <c r="BN34" i="2"/>
  <c r="BO5" i="2"/>
  <c r="BQ32" i="2"/>
  <c r="BP32" i="2"/>
  <c r="BM37" i="2"/>
  <c r="BQ25" i="2"/>
  <c r="BR25" i="2" s="1"/>
  <c r="BS25" i="2" s="1"/>
  <c r="AG38" i="2"/>
  <c r="AF38" i="2"/>
  <c r="BJ38" i="2" l="1"/>
  <c r="BH26" i="2"/>
  <c r="BH38" i="2" s="1"/>
  <c r="BH83" i="2"/>
  <c r="BH94" i="2" s="1"/>
  <c r="BH112" i="2" s="1"/>
  <c r="AD38" i="2"/>
  <c r="BK22" i="2"/>
  <c r="BK24" i="2" s="1"/>
  <c r="BK69" i="2" s="1"/>
  <c r="BK29" i="2"/>
  <c r="BN18" i="2"/>
  <c r="BM13" i="2"/>
  <c r="BM28" i="2" s="1"/>
  <c r="BL19" i="2"/>
  <c r="BN11" i="2"/>
  <c r="BO78" i="2"/>
  <c r="BN12" i="2"/>
  <c r="BP15" i="2"/>
  <c r="BO77" i="2"/>
  <c r="BP4" i="2"/>
  <c r="BO10" i="2"/>
  <c r="BO31" i="2"/>
  <c r="BO36" i="2"/>
  <c r="BN37" i="2"/>
  <c r="BO34" i="2"/>
  <c r="BP5" i="2"/>
  <c r="BP6" i="2"/>
  <c r="BO35" i="2"/>
  <c r="BP33" i="2" l="1"/>
  <c r="BQ4" i="2"/>
  <c r="BR4" i="2" s="1"/>
  <c r="BK26" i="2"/>
  <c r="BK38" i="2" s="1"/>
  <c r="BI38" i="2"/>
  <c r="BM19" i="2"/>
  <c r="BM29" i="2" s="1"/>
  <c r="BO14" i="2"/>
  <c r="BO79" i="2" s="1"/>
  <c r="BO11" i="2"/>
  <c r="BL81" i="2"/>
  <c r="BL29" i="2"/>
  <c r="BN13" i="2"/>
  <c r="BN19" i="2" s="1"/>
  <c r="BO12" i="2"/>
  <c r="BQ78" i="2"/>
  <c r="BP78" i="2"/>
  <c r="BQ15" i="2"/>
  <c r="BR15" i="2" s="1"/>
  <c r="BS15" i="2" s="1"/>
  <c r="BP77" i="2"/>
  <c r="BQ33" i="2"/>
  <c r="BQ6" i="2"/>
  <c r="BP35" i="2"/>
  <c r="BQ36" i="2"/>
  <c r="BP36" i="2"/>
  <c r="BP31" i="2"/>
  <c r="BP10" i="2"/>
  <c r="BO37" i="2"/>
  <c r="BQ5" i="2"/>
  <c r="BP34" i="2"/>
  <c r="BS4" i="2" l="1"/>
  <c r="BR33" i="2"/>
  <c r="BQ34" i="2"/>
  <c r="BR5" i="2"/>
  <c r="BQ35" i="2"/>
  <c r="BR6" i="2"/>
  <c r="BL21" i="2"/>
  <c r="BL22" i="2" s="1"/>
  <c r="BL23" i="2" s="1"/>
  <c r="BL24" i="2" s="1"/>
  <c r="BM81" i="2"/>
  <c r="BO18" i="2"/>
  <c r="BP14" i="2"/>
  <c r="BP79" i="2" s="1"/>
  <c r="BP11" i="2"/>
  <c r="BO13" i="2"/>
  <c r="BO28" i="2" s="1"/>
  <c r="BQ77" i="2"/>
  <c r="BN28" i="2"/>
  <c r="BN81" i="2"/>
  <c r="BP12" i="2"/>
  <c r="BN29" i="2"/>
  <c r="BP37" i="2"/>
  <c r="BQ31" i="2"/>
  <c r="BQ10" i="2"/>
  <c r="BL26" i="2" l="1"/>
  <c r="BL38" i="2" s="1"/>
  <c r="BL48" i="2"/>
  <c r="BS6" i="2"/>
  <c r="BS35" i="2" s="1"/>
  <c r="BR35" i="2"/>
  <c r="BS5" i="2"/>
  <c r="BS34" i="2" s="1"/>
  <c r="BR34" i="2"/>
  <c r="BR10" i="2"/>
  <c r="BS33" i="2"/>
  <c r="BS10" i="2"/>
  <c r="BP18" i="2"/>
  <c r="BQ14" i="2"/>
  <c r="BQ18" i="2" s="1"/>
  <c r="BQ11" i="2"/>
  <c r="BO19" i="2"/>
  <c r="BO81" i="2" s="1"/>
  <c r="BP13" i="2"/>
  <c r="BP28" i="2" s="1"/>
  <c r="BQ12" i="2"/>
  <c r="BQ37" i="2"/>
  <c r="BS37" i="2" l="1"/>
  <c r="BS11" i="2"/>
  <c r="BS14" i="2"/>
  <c r="BS18" i="2" s="1"/>
  <c r="BS12" i="2"/>
  <c r="BS13" i="2" s="1"/>
  <c r="BR11" i="2"/>
  <c r="BR12" i="2"/>
  <c r="BR14" i="2"/>
  <c r="BR18" i="2" s="1"/>
  <c r="BR13" i="2"/>
  <c r="BR37" i="2"/>
  <c r="BM21" i="2"/>
  <c r="BM22" i="2" s="1"/>
  <c r="BM23" i="2" s="1"/>
  <c r="BM24" i="2" s="1"/>
  <c r="BM26" i="2" s="1"/>
  <c r="BM38" i="2" s="1"/>
  <c r="BQ79" i="2"/>
  <c r="BO29" i="2"/>
  <c r="BP19" i="2"/>
  <c r="BP81" i="2" s="1"/>
  <c r="BQ13" i="2"/>
  <c r="BQ28" i="2" s="1"/>
  <c r="BS19" i="2" l="1"/>
  <c r="BS29" i="2" s="1"/>
  <c r="BS28" i="2"/>
  <c r="BR19" i="2"/>
  <c r="BR29" i="2" s="1"/>
  <c r="BR28" i="2"/>
  <c r="BM48" i="2"/>
  <c r="BP29" i="2"/>
  <c r="BQ19" i="2"/>
  <c r="BQ81" i="2" s="1"/>
  <c r="BN21" i="2" l="1"/>
  <c r="BN22" i="2" s="1"/>
  <c r="BN23" i="2" s="1"/>
  <c r="BN24" i="2" s="1"/>
  <c r="BN26" i="2" s="1"/>
  <c r="BN38" i="2" s="1"/>
  <c r="BQ29" i="2"/>
  <c r="BN48" i="2" l="1"/>
  <c r="BO21" i="2" l="1"/>
  <c r="BO22" i="2" s="1"/>
  <c r="BO23" i="2" s="1"/>
  <c r="BO24" i="2" s="1"/>
  <c r="BO26" i="2" s="1"/>
  <c r="BO38" i="2" s="1"/>
  <c r="BO48" i="2" l="1"/>
  <c r="BP21" i="2" l="1"/>
  <c r="BP22" i="2" s="1"/>
  <c r="BP23" i="2" s="1"/>
  <c r="BP24" i="2" s="1"/>
  <c r="BP26" i="2" s="1"/>
  <c r="BP38" i="2" s="1"/>
  <c r="BP48" i="2" l="1"/>
  <c r="BQ21" i="2" l="1"/>
  <c r="BQ22" i="2" s="1"/>
  <c r="BQ23" i="2" s="1"/>
  <c r="BQ24" i="2" s="1"/>
  <c r="BQ26" i="2" l="1"/>
  <c r="BQ38" i="2" s="1"/>
  <c r="BQ48" i="2"/>
  <c r="BR21" i="2" s="1"/>
  <c r="BR22" i="2" s="1"/>
  <c r="BR23" i="2" l="1"/>
  <c r="BR24" i="2" s="1"/>
  <c r="BR48" i="2" s="1"/>
  <c r="BS21" i="2" l="1"/>
  <c r="BS22" i="2" s="1"/>
  <c r="BS23" i="2" s="1"/>
  <c r="BS24" i="2" s="1"/>
  <c r="BR26" i="2"/>
  <c r="BR38" i="2" s="1"/>
  <c r="BS26" i="2" l="1"/>
  <c r="BS38" i="2" s="1"/>
  <c r="BT24" i="2"/>
  <c r="BS48" i="2"/>
  <c r="BU24" i="2" l="1"/>
  <c r="BV24" i="2" s="1"/>
  <c r="BW24" i="2" s="1"/>
  <c r="BX24" i="2" s="1"/>
  <c r="BY24" i="2" s="1"/>
  <c r="BZ24" i="2" s="1"/>
  <c r="CA24" i="2" s="1"/>
  <c r="CB24" i="2" s="1"/>
  <c r="CC24" i="2" s="1"/>
  <c r="CD24" i="2" s="1"/>
  <c r="CE24" i="2" s="1"/>
  <c r="CF24" i="2" s="1"/>
  <c r="CG24" i="2" s="1"/>
  <c r="CH24" i="2" s="1"/>
  <c r="CI24" i="2" s="1"/>
  <c r="CJ24" i="2" s="1"/>
  <c r="CK24" i="2" s="1"/>
  <c r="CL24" i="2" s="1"/>
  <c r="CM24" i="2" s="1"/>
  <c r="CN24" i="2" s="1"/>
  <c r="CO24" i="2" s="1"/>
  <c r="CP24" i="2" s="1"/>
  <c r="CQ24" i="2" s="1"/>
  <c r="CR24" i="2" s="1"/>
  <c r="CS24" i="2" s="1"/>
  <c r="CT24" i="2" s="1"/>
  <c r="CU24" i="2" s="1"/>
  <c r="CV24" i="2" s="1"/>
  <c r="CW24" i="2" s="1"/>
  <c r="CX24" i="2" s="1"/>
  <c r="CY24" i="2" s="1"/>
  <c r="CZ24" i="2" s="1"/>
  <c r="DA24" i="2" s="1"/>
  <c r="DB24" i="2" s="1"/>
  <c r="DC24" i="2" s="1"/>
  <c r="DD24" i="2" s="1"/>
  <c r="DE24" i="2" s="1"/>
  <c r="DF24" i="2" s="1"/>
  <c r="DG24" i="2" s="1"/>
  <c r="DH24" i="2" s="1"/>
  <c r="DI24" i="2" s="1"/>
  <c r="DJ24" i="2" s="1"/>
  <c r="DK24" i="2" s="1"/>
  <c r="DL24" i="2" s="1"/>
  <c r="DM24" i="2" s="1"/>
  <c r="DN24" i="2" s="1"/>
  <c r="DO24" i="2" s="1"/>
  <c r="DP24" i="2" s="1"/>
  <c r="DQ24" i="2" s="1"/>
  <c r="DR24" i="2" s="1"/>
  <c r="DS24" i="2" s="1"/>
  <c r="DT24" i="2" s="1"/>
  <c r="BV5" i="2" l="1"/>
  <c r="BV7" i="2" s="1"/>
  <c r="BV8"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<sst xmlns="http://schemas.openxmlformats.org/spreadsheetml/2006/main" count="254" uniqueCount="223">
  <si>
    <t>ticket</t>
  </si>
  <si>
    <t>price</t>
  </si>
  <si>
    <t>shares</t>
  </si>
  <si>
    <t>mc</t>
  </si>
  <si>
    <t>cash</t>
  </si>
  <si>
    <t>debt</t>
  </si>
  <si>
    <t>ev</t>
  </si>
  <si>
    <t>Online Stores</t>
  </si>
  <si>
    <t>Physical stores</t>
  </si>
  <si>
    <t>Third-party seller services</t>
  </si>
  <si>
    <t>Advertising</t>
  </si>
  <si>
    <t>Subscriptions</t>
  </si>
  <si>
    <t>AWS</t>
  </si>
  <si>
    <t>Other</t>
  </si>
  <si>
    <t>Q1 2022</t>
  </si>
  <si>
    <t>Q1 2023</t>
  </si>
  <si>
    <t>Q1 2024</t>
  </si>
  <si>
    <t>Q2 2022</t>
  </si>
  <si>
    <t>Q3 2022</t>
  </si>
  <si>
    <t>Q4 2022</t>
  </si>
  <si>
    <t>Q2 2023</t>
  </si>
  <si>
    <t>Q3 2023</t>
  </si>
  <si>
    <t>Q4 2023</t>
  </si>
  <si>
    <t>Cost of Sales</t>
  </si>
  <si>
    <t>Fullfillment</t>
  </si>
  <si>
    <t>R&amp;D</t>
  </si>
  <si>
    <t>S&amp;M</t>
  </si>
  <si>
    <t>G&amp;A</t>
  </si>
  <si>
    <t>Other opex</t>
  </si>
  <si>
    <t>Total Opex</t>
  </si>
  <si>
    <t>Operating Income</t>
  </si>
  <si>
    <t>Net Interest</t>
  </si>
  <si>
    <t>Other income</t>
  </si>
  <si>
    <t>Pretax Income</t>
  </si>
  <si>
    <t>Taxes</t>
  </si>
  <si>
    <t>Net Income</t>
  </si>
  <si>
    <t>Shares</t>
  </si>
  <si>
    <t>EPS</t>
  </si>
  <si>
    <t>CFFO</t>
  </si>
  <si>
    <t>CAPEX</t>
  </si>
  <si>
    <t>SBC</t>
  </si>
  <si>
    <t>FCF</t>
  </si>
  <si>
    <t>FCF-SBC</t>
  </si>
  <si>
    <t>net cash</t>
  </si>
  <si>
    <t>Operating Margin</t>
  </si>
  <si>
    <t>Online Stores Y/Y</t>
  </si>
  <si>
    <t>Physical stores Y/Y</t>
  </si>
  <si>
    <t>Third-party seller services Y/Y</t>
  </si>
  <si>
    <t>Advertising Y/Y</t>
  </si>
  <si>
    <t>Subscriptions Y/Y</t>
  </si>
  <si>
    <t>AWS Y/Y</t>
  </si>
  <si>
    <t>Revenue Y/Y</t>
  </si>
  <si>
    <t>EPS Y/Y</t>
  </si>
  <si>
    <t>AWS Operating Margin</t>
  </si>
  <si>
    <t>International Operating Margin</t>
  </si>
  <si>
    <t>NA Op Margin</t>
  </si>
  <si>
    <t>employees</t>
  </si>
  <si>
    <t xml:space="preserve">Discount </t>
  </si>
  <si>
    <t xml:space="preserve">Maturity </t>
  </si>
  <si>
    <t xml:space="preserve">S&amp;M Y/Y </t>
  </si>
  <si>
    <t>G&amp;A Y/Y</t>
  </si>
  <si>
    <t>R&amp;D Y/Y</t>
  </si>
  <si>
    <t>FCF TTM</t>
  </si>
  <si>
    <t>Q1 2021</t>
  </si>
  <si>
    <t>Q2 2021</t>
  </si>
  <si>
    <t>Q3 2021</t>
  </si>
  <si>
    <t>Q4 2021</t>
  </si>
  <si>
    <t xml:space="preserve">Q1 2020 </t>
  </si>
  <si>
    <t>Q2 2020</t>
  </si>
  <si>
    <t>Q3 2020</t>
  </si>
  <si>
    <t>Q4 2020</t>
  </si>
  <si>
    <t>Q4 2019</t>
  </si>
  <si>
    <t>Q3 2019</t>
  </si>
  <si>
    <t>Q2 2019</t>
  </si>
  <si>
    <t>Q1 2019</t>
  </si>
  <si>
    <t>Q4 2018</t>
  </si>
  <si>
    <t>Q3 2018</t>
  </si>
  <si>
    <t>Q2 2018</t>
  </si>
  <si>
    <t>Q1 2018</t>
  </si>
  <si>
    <t>Q2 2017</t>
  </si>
  <si>
    <t>Q3 2017</t>
  </si>
  <si>
    <t>Q4 2017</t>
  </si>
  <si>
    <t>Q1 2017</t>
  </si>
  <si>
    <t>Q1 2016</t>
  </si>
  <si>
    <t>Q2 2016</t>
  </si>
  <si>
    <t>Q3 2016</t>
  </si>
  <si>
    <t>Q4 2016</t>
  </si>
  <si>
    <t>Gross Profit</t>
  </si>
  <si>
    <t>Gross Margin</t>
  </si>
  <si>
    <t>Contribution Margin</t>
  </si>
  <si>
    <t>Cloud Services Market Share</t>
  </si>
  <si>
    <t>Microsoft Azure</t>
  </si>
  <si>
    <t>Google Cloud</t>
  </si>
  <si>
    <t>Alibaba Cloud</t>
  </si>
  <si>
    <t>Salesforce</t>
  </si>
  <si>
    <t>IBM Cloud</t>
  </si>
  <si>
    <t>Tencent Cloud</t>
  </si>
  <si>
    <t>Q2 2024</t>
  </si>
  <si>
    <t>Main</t>
  </si>
  <si>
    <t>#1 online retail</t>
  </si>
  <si>
    <t>Market Price</t>
  </si>
  <si>
    <t>npv</t>
  </si>
  <si>
    <t>Founded</t>
  </si>
  <si>
    <t>Founder</t>
  </si>
  <si>
    <t>HQ</t>
  </si>
  <si>
    <t>CEO</t>
  </si>
  <si>
    <t>IPO</t>
  </si>
  <si>
    <t>Industry</t>
  </si>
  <si>
    <t>Jeff Bezos</t>
  </si>
  <si>
    <t>Seattle, Washington, US</t>
  </si>
  <si>
    <t>1997, NASDAQ</t>
  </si>
  <si>
    <t>Info/news:</t>
  </si>
  <si>
    <t>#1 cloud computing provider; Forecast 18-20% CAGR until 2030</t>
  </si>
  <si>
    <t>#3 Digital Advertising; High Margin, high growth business</t>
  </si>
  <si>
    <t xml:space="preserve">200M+ Amazon Prime Subscribers </t>
  </si>
  <si>
    <t>Whole Foods (2017) for $13,7 billion</t>
  </si>
  <si>
    <t>MGM Studios (2021) for $8,45 billion</t>
  </si>
  <si>
    <t>One Medical (2022) for $3,9 billion</t>
  </si>
  <si>
    <t>iRobot (2022) for $1,7 billion</t>
  </si>
  <si>
    <t>Recent relevant acquisitions:</t>
  </si>
  <si>
    <t>Zoox (2020) for $1,2 billion</t>
  </si>
  <si>
    <t>Future Outlook:</t>
  </si>
  <si>
    <t>Expansion in AI-driven technologies across AWS and consumer products</t>
  </si>
  <si>
    <t>Amazon Health: focus on health care services including Amazon Pharmacy</t>
  </si>
  <si>
    <t>Logistics; continue to expand its global delivery and logistics capabilities; potential drone deliveries and automated warehouses</t>
  </si>
  <si>
    <t>Amazon Web Services (AWS)</t>
  </si>
  <si>
    <t>Oracle Cloud</t>
  </si>
  <si>
    <t>Other Providers</t>
  </si>
  <si>
    <t>Cloud Providers</t>
  </si>
  <si>
    <t xml:space="preserve"> Q2 2024</t>
  </si>
  <si>
    <t>Market Share</t>
  </si>
  <si>
    <t>Andy Jassy (since july 2021)</t>
  </si>
  <si>
    <t>E-commerce, Cloud Computing, Digital Streaming, Digital Ads</t>
  </si>
  <si>
    <t>Operates in 200+ countries</t>
  </si>
  <si>
    <t>300M+ active costumer accounts worldwide</t>
  </si>
  <si>
    <t>#2 streaming services; free shipping, streaming, etc</t>
  </si>
  <si>
    <t>1,5M+ employees  ---&gt; massively benefits from automated warehouse adoption (nearly 50% potential labor costs reduction + 24/7 working hours contributing to 20/30% efficiency gains)</t>
  </si>
  <si>
    <t xml:space="preserve">cash </t>
  </si>
  <si>
    <t>mkt sec</t>
  </si>
  <si>
    <t>inventories</t>
  </si>
  <si>
    <t>AR</t>
  </si>
  <si>
    <t>PPE</t>
  </si>
  <si>
    <t>Goodwill</t>
  </si>
  <si>
    <t>other assets</t>
  </si>
  <si>
    <t>Total Assets</t>
  </si>
  <si>
    <t>AP</t>
  </si>
  <si>
    <t>Accrued expenses</t>
  </si>
  <si>
    <t>Unearned revenue</t>
  </si>
  <si>
    <t>Debt</t>
  </si>
  <si>
    <t>Other lt liabilities</t>
  </si>
  <si>
    <t>Total Liabilities</t>
  </si>
  <si>
    <t>S/E</t>
  </si>
  <si>
    <t>L + S/E</t>
  </si>
  <si>
    <t>D&amp;A</t>
  </si>
  <si>
    <t>Other expenses</t>
  </si>
  <si>
    <t>Deferred taxes</t>
  </si>
  <si>
    <t>Inventories</t>
  </si>
  <si>
    <t>Purchases of PPE</t>
  </si>
  <si>
    <t>Proceeds from PPE incentives</t>
  </si>
  <si>
    <t>Acquisitions</t>
  </si>
  <si>
    <t>Sales and maturities of mkt sec</t>
  </si>
  <si>
    <t>Purchases of mkt sec</t>
  </si>
  <si>
    <t>CFFI</t>
  </si>
  <si>
    <t>Proceeds from LT debt</t>
  </si>
  <si>
    <t>Repayments of LT debt</t>
  </si>
  <si>
    <t>Principal repayments of finance LO</t>
  </si>
  <si>
    <t>Principal repayments of capital LO</t>
  </si>
  <si>
    <t>CFFF</t>
  </si>
  <si>
    <t>FX</t>
  </si>
  <si>
    <t>Net Increase in cash</t>
  </si>
  <si>
    <t>Operating leases</t>
  </si>
  <si>
    <t>LT lease liabilities</t>
  </si>
  <si>
    <t>Proceeds from ST debt</t>
  </si>
  <si>
    <t>Repayments of ST debt</t>
  </si>
  <si>
    <t>Stock Repurchased</t>
  </si>
  <si>
    <t>ROIC</t>
  </si>
  <si>
    <t>NWC</t>
  </si>
  <si>
    <t>EV/FCF</t>
  </si>
  <si>
    <t>Q3 2024</t>
  </si>
  <si>
    <t>Q4 2024</t>
  </si>
  <si>
    <t>ROE</t>
  </si>
  <si>
    <t>EV/OCF</t>
  </si>
  <si>
    <t>-&gt; planned to start testing vehicles in San Francisco and Las Vegas in 2025</t>
  </si>
  <si>
    <t>Revenue</t>
  </si>
  <si>
    <t>Name</t>
  </si>
  <si>
    <t>Age</t>
  </si>
  <si>
    <t>Position</t>
  </si>
  <si>
    <t>Jeffrey P. Bezos</t>
  </si>
  <si>
    <t>Executive Chair</t>
  </si>
  <si>
    <t>Andrew R. Jassy</t>
  </si>
  <si>
    <t>President and Chief Executive Officer</t>
  </si>
  <si>
    <t>Matthew S. Garman</t>
  </si>
  <si>
    <t>CEO Amazon Web Services</t>
  </si>
  <si>
    <t>Douglas J. Herrington</t>
  </si>
  <si>
    <t>CEO Worldwide Amazon Stores</t>
  </si>
  <si>
    <t>Brian T. Olsavsky</t>
  </si>
  <si>
    <t>Senior Vice President and Chief Financial Officer</t>
  </si>
  <si>
    <t>Shelley L. Reynolds</t>
  </si>
  <si>
    <t>Vice President, Worldwide Controller, and Principal Accounting Officer</t>
  </si>
  <si>
    <t>David A. Zapolsky</t>
  </si>
  <si>
    <t>Senior Vice President, Global Public Policy and General Counsel</t>
  </si>
  <si>
    <t>Executive Officers</t>
  </si>
  <si>
    <t>Board of Directors</t>
  </si>
  <si>
    <t>Keith B. Alexander</t>
  </si>
  <si>
    <t>Former Chair and CEO of IronNet, Inc.</t>
  </si>
  <si>
    <t>Edith W. Cooper</t>
  </si>
  <si>
    <t>Former Executive Vice President, Goldman Sachs Group, Inc.</t>
  </si>
  <si>
    <t>Jamie S. Gorelick</t>
  </si>
  <si>
    <t>Partner, Wilmer Cutler Pickering Hale and Dorr LLP</t>
  </si>
  <si>
    <t>Daniel P. Huttenlocher</t>
  </si>
  <si>
    <t>Dean, MIT Schwarzman College of Computing</t>
  </si>
  <si>
    <t>Andrew Y. Ng</t>
  </si>
  <si>
    <t>Managing General Partner, AI Fund, L.P.</t>
  </si>
  <si>
    <t>Indra K. Nooyi</t>
  </si>
  <si>
    <t>Former Chair and CEO, PepsiCo, Inc.</t>
  </si>
  <si>
    <t>Jonathan J. Rubinstein</t>
  </si>
  <si>
    <t>Former co-CEO, Bridgewater Associates, LP</t>
  </si>
  <si>
    <t>Brad D. Smith</t>
  </si>
  <si>
    <t>President, Marshall University</t>
  </si>
  <si>
    <t>Patricia Q. Stonesifer</t>
  </si>
  <si>
    <t>Former President and Chief Executive Officer, Martha’s Table</t>
  </si>
  <si>
    <t>Wendell P. Weeks</t>
  </si>
  <si>
    <t>Chairman and CEO, Corning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</si>
</sst>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_-[$$-409]* #,##0_ ;_-[$$-409]* \-#,##0\ ;_-[$$-409]* &quot;-&quot;??_ ;_-@_ "/>
    <numFmt numFmtId="166" formatCode="0.0%"/>
    <numFmt numFmtId="167" formatCode="0.0\x"/>
  </numFmts>
  <fonts count="11">
    <font>
      <sz val="11"/>
      <color theme="1"/>
      <name val="Aptos Narrow"/>
      <family val="2"/>
      <scheme val="minor"/>
    </font>
    <font>
      <sz val="11"/>
      <color theme="1"/>
      <name val="Aptos Narrow"/>
      <family val="2"/>
      <scheme val="minor"/>
    </font>
    <font>
      <sz val="10"/>
      <color theme="1"/>
      <name val="Arial"/>
      <family val="2"/>
    </font>
    <font>
      <b/>
      <sz val="10"/>
      <color theme="1"/>
      <name val="Arial"/>
      <family val="2"/>
    </font>
    <font>
      <u/>
      <sz val="11"/>
      <color theme="10"/>
      <name val="Aptos Narrow"/>
      <family val="2"/>
      <scheme val="minor"/>
    </font>
    <font>
      <sz val="10"/>
      <name val="Arial"/>
      <family val="2"/>
    </font>
    <font>
      <b/>
      <sz val="10"/>
      <name val="Arial"/>
      <family val="2"/>
    </font>
    <font>
      <b/>
      <sz val="11"/>
      <color theme="1"/>
      <name val="Aptos Narrow"/>
      <family val="2"/>
      <scheme val="minor"/>
    </font>
    <font>
      <b/>
      <sz val="8"/>
      <color rgb="FF000000"/>
      <name val="Times New Roman"/>
      <family val="1"/>
    </font>
    <font>
      <sz val="10"/>
      <color rgb="FF000000"/>
      <name val="Times New Roman"/>
      <family val="1"/>
    </font>
    <font>
      <b/>
      <sz val="10"/>
      <color rgb="FF000000"/>
      <name val="Airal"/>
    </font>
  </fonts>
  <fills count="5">
    <fill>
      <patternFill patternType="none"/>
    </fill>
    <fill>
      <patternFill patternType="gray125"/>
    </fill>
    <fill>
      <patternFill patternType="solid">
        <fgColor rgb="FFCCEEFF"/>
        <bgColor indexed="64"/>
      </patternFill>
    </fill>
    <fill>
      <patternFill patternType="solid">
        <fgColor rgb="FFFFFFFF"/>
        <bgColor indexed="64"/>
      </patternFill>
    </fill>
    <fill>
      <patternFill patternType="solid">
        <fgColor theme="0"/>
        <bgColor indexed="64"/>
      </patternFill>
    </fill>
  </fills>
  <borders count="6">
    <border>
      <left/>
      <right/>
      <top/>
      <bottom/>
      <diagonal/>
    </border>
    <border>
      <left/>
      <right/>
      <top/>
      <bottom style="medium">
        <color rgb="FF444444"/>
      </bottom>
      <diagonal/>
    </border>
    <border>
      <left/>
      <right/>
      <top style="medium">
        <color rgb="FF000000"/>
      </top>
      <bottom style="medium">
        <color rgb="FF444444"/>
      </bottom>
      <diagonal/>
    </border>
    <border>
      <left/>
      <right/>
      <top/>
      <bottom style="medium">
        <color rgb="FF000000"/>
      </bottom>
      <diagonal/>
    </border>
    <border>
      <left/>
      <right/>
      <top style="medium">
        <color rgb="FF444444"/>
      </top>
      <bottom style="medium">
        <color rgb="FF444444"/>
      </bottom>
      <diagonal/>
    </border>
    <border>
      <left/>
      <right/>
      <top style="medium">
        <color rgb="FF444444"/>
      </top>
      <bottom style="medium">
        <color rgb="FF000000"/>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42">
    <xf numFmtId="0" fontId="0" fillId="0" borderId="0" xfId="0"/>
    <xf numFmtId="0" fontId="2" fillId="0" borderId="0" xfId="0" applyFont="1"/>
    <xf numFmtId="0" fontId="3" fillId="0" borderId="0" xfId="0" applyFont="1"/>
    <xf numFmtId="3" fontId="2" fillId="0" borderId="0" xfId="0" applyNumberFormat="1" applyFont="1"/>
    <xf numFmtId="9" fontId="2" fillId="0" borderId="0" xfId="0" applyNumberFormat="1" applyFont="1"/>
    <xf numFmtId="164" fontId="2" fillId="0" borderId="0" xfId="0" applyNumberFormat="1" applyFont="1"/>
    <xf numFmtId="165" fontId="2" fillId="0" borderId="0" xfId="0" applyNumberFormat="1" applyFont="1"/>
    <xf numFmtId="3" fontId="3" fillId="0" borderId="0" xfId="0" applyNumberFormat="1" applyFont="1"/>
    <xf numFmtId="9" fontId="2" fillId="0" borderId="0" xfId="1" applyFont="1"/>
    <xf numFmtId="0" fontId="4" fillId="0" borderId="0" xfId="2"/>
    <xf numFmtId="9" fontId="3" fillId="0" borderId="0" xfId="0" applyNumberFormat="1" applyFont="1"/>
    <xf numFmtId="9" fontId="2" fillId="0" borderId="0" xfId="0" applyNumberFormat="1" applyFont="1" applyAlignment="1">
      <alignment vertical="center" wrapText="1"/>
    </xf>
    <xf numFmtId="0" fontId="2" fillId="0" borderId="0" xfId="0" applyFont="1" applyAlignment="1">
      <alignment vertical="center"/>
    </xf>
    <xf numFmtId="0" fontId="3" fillId="0" borderId="0" xfId="0" applyFont="1" applyAlignment="1">
      <alignment horizontal="left" vertical="top"/>
    </xf>
    <xf numFmtId="0" fontId="2" fillId="0" borderId="0" xfId="0" applyFont="1" applyAlignment="1">
      <alignment horizontal="left"/>
    </xf>
    <xf numFmtId="0" fontId="2" fillId="0" borderId="0" xfId="0" applyFont="1" applyAlignment="1">
      <alignment horizontal="right"/>
    </xf>
    <xf numFmtId="166" fontId="2" fillId="0" borderId="0" xfId="0" applyNumberFormat="1" applyFont="1"/>
    <xf numFmtId="167" fontId="2" fillId="0" borderId="0" xfId="0" applyNumberFormat="1" applyFont="1"/>
    <xf numFmtId="0" fontId="2" fillId="0" borderId="0" xfId="0" quotePrefix="1" applyFont="1"/>
    <xf numFmtId="3" fontId="6" fillId="0" borderId="0" xfId="0" applyNumberFormat="1" applyFont="1"/>
    <xf numFmtId="3" fontId="5" fillId="0" borderId="0" xfId="0" applyNumberFormat="1" applyFont="1"/>
    <xf numFmtId="0" fontId="3" fillId="0" borderId="0" xfId="0" applyFont="1" applyAlignment="1">
      <alignment horizontal="center"/>
    </xf>
    <xf numFmtId="0" fontId="9" fillId="2" borderId="2" xfId="0" applyFont="1" applyFill="1" applyBorder="1" applyAlignment="1">
      <alignment horizontal="left" wrapText="1"/>
    </xf>
    <xf numFmtId="0" fontId="9" fillId="3" borderId="4" xfId="0" applyFont="1" applyFill="1" applyBorder="1" applyAlignment="1">
      <alignment horizontal="left" wrapText="1"/>
    </xf>
    <xf numFmtId="0" fontId="9" fillId="2" borderId="4" xfId="0" applyFont="1" applyFill="1" applyBorder="1" applyAlignment="1">
      <alignment horizontal="left" wrapText="1"/>
    </xf>
    <xf numFmtId="0" fontId="9" fillId="3" borderId="4" xfId="0" applyFont="1" applyFill="1" applyBorder="1" applyAlignment="1">
      <alignment wrapText="1"/>
    </xf>
    <xf numFmtId="0" fontId="9" fillId="2" borderId="4" xfId="0" applyFont="1" applyFill="1" applyBorder="1" applyAlignment="1">
      <alignment wrapText="1"/>
    </xf>
    <xf numFmtId="0" fontId="9" fillId="2" borderId="2" xfId="0" applyFont="1" applyFill="1" applyBorder="1" applyAlignment="1">
      <alignment wrapText="1"/>
    </xf>
    <xf numFmtId="0" fontId="8" fillId="4" borderId="3" xfId="0" applyFont="1" applyFill="1" applyBorder="1" applyAlignment="1">
      <alignment horizontal="left" wrapText="1"/>
    </xf>
    <xf numFmtId="0" fontId="8" fillId="4" borderId="3" xfId="0" applyFont="1" applyFill="1" applyBorder="1" applyAlignment="1">
      <alignment horizontal="center" wrapText="1"/>
    </xf>
    <xf numFmtId="0" fontId="9" fillId="2" borderId="2" xfId="0" applyFont="1" applyFill="1" applyBorder="1" applyAlignment="1">
      <alignment horizontal="left" vertical="top"/>
    </xf>
    <xf numFmtId="0" fontId="9" fillId="3" borderId="4" xfId="0" applyFont="1" applyFill="1" applyBorder="1" applyAlignment="1">
      <alignment horizontal="left" vertical="top"/>
    </xf>
    <xf numFmtId="0" fontId="9" fillId="2" borderId="4" xfId="0" applyFont="1" applyFill="1" applyBorder="1" applyAlignment="1">
      <alignment horizontal="left" vertical="top"/>
    </xf>
    <xf numFmtId="0" fontId="7" fillId="0" borderId="0" xfId="0" applyFont="1" applyAlignment="1">
      <alignment horizontal="center"/>
    </xf>
    <xf numFmtId="0" fontId="9" fillId="3" borderId="4" xfId="0" applyFont="1" applyFill="1" applyBorder="1" applyAlignment="1">
      <alignment vertical="center" wrapText="1"/>
    </xf>
    <xf numFmtId="0" fontId="9" fillId="3" borderId="4" xfId="0" applyFont="1" applyFill="1" applyBorder="1" applyAlignment="1">
      <alignment horizontal="left" vertical="center" wrapText="1"/>
    </xf>
    <xf numFmtId="0" fontId="9" fillId="2" borderId="2" xfId="0" applyFont="1" applyFill="1" applyBorder="1" applyAlignment="1">
      <alignment vertical="top"/>
    </xf>
    <xf numFmtId="0" fontId="9" fillId="3" borderId="4" xfId="0" applyFont="1" applyFill="1" applyBorder="1" applyAlignment="1">
      <alignment vertical="top"/>
    </xf>
    <xf numFmtId="0" fontId="9" fillId="2" borderId="4" xfId="0" applyFont="1" applyFill="1" applyBorder="1" applyAlignment="1">
      <alignment vertical="top"/>
    </xf>
    <xf numFmtId="0" fontId="9" fillId="3" borderId="4" xfId="0" applyFont="1" applyFill="1" applyBorder="1" applyAlignment="1">
      <alignment vertical="center"/>
    </xf>
    <xf numFmtId="0" fontId="8" fillId="0" borderId="5" xfId="0" applyFont="1" applyBorder="1" applyAlignment="1">
      <alignment wrapText="1"/>
    </xf>
    <xf numFmtId="0" fontId="10" fillId="0" borderId="1" xfId="0" applyFont="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SupportingPropertyBagStructure" Target="richData/rdsupportingpropertybagstructure.xml"/><Relationship Id="rId5" Type="http://schemas.openxmlformats.org/officeDocument/2006/relationships/styles" Target="styles.xml"/><Relationship Id="rId10" Type="http://schemas.microsoft.com/office/2017/06/relationships/richStyles" Target="richData/richStyles.xml"/><Relationship Id="rId4" Type="http://schemas.openxmlformats.org/officeDocument/2006/relationships/theme" Target="theme/theme1.xml"/><Relationship Id="rId9" Type="http://schemas.microsoft.com/office/2017/06/relationships/rdRichValueStructure" Target="richData/rdrichvaluestructure.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model!$B$2</c:f>
              <c:strCache>
                <c:ptCount val="1"/>
                <c:pt idx="0">
                  <c:v>Online Stores</c:v>
                </c:pt>
              </c:strCache>
            </c:strRef>
          </c:tx>
          <c:spPr>
            <a:solidFill>
              <a:schemeClr val="accent1"/>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model!$S$2:$AL$2</c:f>
              <c:numCache>
                <c:formatCode>#,##0</c:formatCode>
                <c:ptCount val="20"/>
                <c:pt idx="0">
                  <c:v>36652</c:v>
                </c:pt>
                <c:pt idx="1">
                  <c:v>45896</c:v>
                </c:pt>
                <c:pt idx="2">
                  <c:v>48350</c:v>
                </c:pt>
                <c:pt idx="3">
                  <c:v>66451</c:v>
                </c:pt>
                <c:pt idx="4">
                  <c:v>52901</c:v>
                </c:pt>
                <c:pt idx="5">
                  <c:v>53157</c:v>
                </c:pt>
                <c:pt idx="6">
                  <c:v>49942</c:v>
                </c:pt>
                <c:pt idx="7">
                  <c:v>66075</c:v>
                </c:pt>
                <c:pt idx="8">
                  <c:v>51129</c:v>
                </c:pt>
                <c:pt idx="9">
                  <c:v>50885</c:v>
                </c:pt>
                <c:pt idx="10">
                  <c:v>53489</c:v>
                </c:pt>
                <c:pt idx="11">
                  <c:v>64531</c:v>
                </c:pt>
                <c:pt idx="12">
                  <c:v>51096</c:v>
                </c:pt>
                <c:pt idx="13">
                  <c:v>52966</c:v>
                </c:pt>
                <c:pt idx="14">
                  <c:v>57267</c:v>
                </c:pt>
                <c:pt idx="15">
                  <c:v>70543</c:v>
                </c:pt>
                <c:pt idx="16">
                  <c:v>54670</c:v>
                </c:pt>
                <c:pt idx="17">
                  <c:v>55392</c:v>
                </c:pt>
                <c:pt idx="18">
                  <c:v>61411</c:v>
                </c:pt>
                <c:pt idx="19">
                  <c:v>75556</c:v>
                </c:pt>
              </c:numCache>
            </c:numRef>
          </c:val>
          <c:extLst>
            <c:ext xmlns:c16="http://schemas.microsoft.com/office/drawing/2014/chart" uri="{C3380CC4-5D6E-409C-BE32-E72D297353CC}">
              <c16:uniqueId val="{00000000-1AFC-4385-A8E2-DF6B6F29646F}"/>
            </c:ext>
          </c:extLst>
        </c:ser>
        <c:ser>
          <c:idx val="1"/>
          <c:order val="1"/>
          <c:tx>
            <c:strRef>
              <c:f>model!$B$3</c:f>
              <c:strCache>
                <c:ptCount val="1"/>
                <c:pt idx="0">
                  <c:v>Physical stores</c:v>
                </c:pt>
              </c:strCache>
            </c:strRef>
          </c:tx>
          <c:spPr>
            <a:solidFill>
              <a:schemeClr val="accent2"/>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model!$S$3:$AL$3</c:f>
              <c:numCache>
                <c:formatCode>#,##0</c:formatCode>
                <c:ptCount val="20"/>
                <c:pt idx="0">
                  <c:v>4640</c:v>
                </c:pt>
                <c:pt idx="1">
                  <c:v>3774</c:v>
                </c:pt>
                <c:pt idx="2">
                  <c:v>3788</c:v>
                </c:pt>
                <c:pt idx="3">
                  <c:v>4022</c:v>
                </c:pt>
                <c:pt idx="4">
                  <c:v>3920</c:v>
                </c:pt>
                <c:pt idx="5">
                  <c:v>4198</c:v>
                </c:pt>
                <c:pt idx="6">
                  <c:v>4269</c:v>
                </c:pt>
                <c:pt idx="7">
                  <c:v>4688</c:v>
                </c:pt>
                <c:pt idx="8">
                  <c:v>4591</c:v>
                </c:pt>
                <c:pt idx="9">
                  <c:v>4721</c:v>
                </c:pt>
                <c:pt idx="10">
                  <c:v>4694</c:v>
                </c:pt>
                <c:pt idx="11">
                  <c:v>4957</c:v>
                </c:pt>
                <c:pt idx="12">
                  <c:v>4895</c:v>
                </c:pt>
                <c:pt idx="13">
                  <c:v>5024</c:v>
                </c:pt>
                <c:pt idx="14">
                  <c:v>4959</c:v>
                </c:pt>
                <c:pt idx="15">
                  <c:v>5152</c:v>
                </c:pt>
                <c:pt idx="16">
                  <c:v>5202</c:v>
                </c:pt>
                <c:pt idx="17">
                  <c:v>5206</c:v>
                </c:pt>
                <c:pt idx="18">
                  <c:v>5228</c:v>
                </c:pt>
                <c:pt idx="19">
                  <c:v>5579</c:v>
                </c:pt>
              </c:numCache>
            </c:numRef>
          </c:val>
          <c:extLst>
            <c:ext xmlns:c16="http://schemas.microsoft.com/office/drawing/2014/chart" uri="{C3380CC4-5D6E-409C-BE32-E72D297353CC}">
              <c16:uniqueId val="{00000001-1AFC-4385-A8E2-DF6B6F29646F}"/>
            </c:ext>
          </c:extLst>
        </c:ser>
        <c:ser>
          <c:idx val="2"/>
          <c:order val="2"/>
          <c:tx>
            <c:strRef>
              <c:f>model!$B$4</c:f>
              <c:strCache>
                <c:ptCount val="1"/>
                <c:pt idx="0">
                  <c:v>Third-party seller services</c:v>
                </c:pt>
              </c:strCache>
            </c:strRef>
          </c:tx>
          <c:spPr>
            <a:solidFill>
              <a:schemeClr val="accent3"/>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model!$S$4:$AL$4</c:f>
              <c:numCache>
                <c:formatCode>#,##0</c:formatCode>
                <c:ptCount val="20"/>
                <c:pt idx="0">
                  <c:v>14479</c:v>
                </c:pt>
                <c:pt idx="1">
                  <c:v>18195</c:v>
                </c:pt>
                <c:pt idx="2">
                  <c:v>20436</c:v>
                </c:pt>
                <c:pt idx="3">
                  <c:v>27327</c:v>
                </c:pt>
                <c:pt idx="4">
                  <c:v>23709</c:v>
                </c:pt>
                <c:pt idx="5">
                  <c:v>25085</c:v>
                </c:pt>
                <c:pt idx="6">
                  <c:v>24252</c:v>
                </c:pt>
                <c:pt idx="7">
                  <c:v>30320</c:v>
                </c:pt>
                <c:pt idx="8">
                  <c:v>25335</c:v>
                </c:pt>
                <c:pt idx="9">
                  <c:v>27376</c:v>
                </c:pt>
                <c:pt idx="10">
                  <c:v>28666</c:v>
                </c:pt>
                <c:pt idx="11">
                  <c:v>36339</c:v>
                </c:pt>
                <c:pt idx="12">
                  <c:v>29820</c:v>
                </c:pt>
                <c:pt idx="13">
                  <c:v>32332</c:v>
                </c:pt>
                <c:pt idx="14">
                  <c:v>34342</c:v>
                </c:pt>
                <c:pt idx="15">
                  <c:v>43559</c:v>
                </c:pt>
                <c:pt idx="16">
                  <c:v>34596</c:v>
                </c:pt>
                <c:pt idx="17">
                  <c:v>36201</c:v>
                </c:pt>
                <c:pt idx="18">
                  <c:v>37864</c:v>
                </c:pt>
                <c:pt idx="19">
                  <c:v>47485</c:v>
                </c:pt>
              </c:numCache>
            </c:numRef>
          </c:val>
          <c:extLst>
            <c:ext xmlns:c16="http://schemas.microsoft.com/office/drawing/2014/chart" uri="{C3380CC4-5D6E-409C-BE32-E72D297353CC}">
              <c16:uniqueId val="{00000002-1AFC-4385-A8E2-DF6B6F29646F}"/>
            </c:ext>
          </c:extLst>
        </c:ser>
        <c:ser>
          <c:idx val="3"/>
          <c:order val="3"/>
          <c:tx>
            <c:strRef>
              <c:f>model!$B$5</c:f>
              <c:strCache>
                <c:ptCount val="1"/>
                <c:pt idx="0">
                  <c:v>Advertising</c:v>
                </c:pt>
              </c:strCache>
            </c:strRef>
          </c:tx>
          <c:spPr>
            <a:solidFill>
              <a:schemeClr val="accent4"/>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model!$S$5:$AL$5</c:f>
              <c:numCache>
                <c:formatCode>#,##0</c:formatCode>
                <c:ptCount val="20"/>
                <c:pt idx="3">
                  <c:v>7061</c:v>
                </c:pt>
                <c:pt idx="4">
                  <c:v>7580</c:v>
                </c:pt>
                <c:pt idx="5">
                  <c:v>7917</c:v>
                </c:pt>
                <c:pt idx="6">
                  <c:v>8148</c:v>
                </c:pt>
                <c:pt idx="7">
                  <c:v>8123</c:v>
                </c:pt>
                <c:pt idx="8">
                  <c:v>8410</c:v>
                </c:pt>
                <c:pt idx="9">
                  <c:v>8716</c:v>
                </c:pt>
                <c:pt idx="10">
                  <c:v>8903</c:v>
                </c:pt>
                <c:pt idx="11">
                  <c:v>1157</c:v>
                </c:pt>
                <c:pt idx="12">
                  <c:v>9509</c:v>
                </c:pt>
                <c:pt idx="13">
                  <c:v>10683</c:v>
                </c:pt>
                <c:pt idx="14">
                  <c:v>10170</c:v>
                </c:pt>
                <c:pt idx="15">
                  <c:v>14654</c:v>
                </c:pt>
                <c:pt idx="16">
                  <c:v>11824</c:v>
                </c:pt>
                <c:pt idx="17">
                  <c:v>12771</c:v>
                </c:pt>
                <c:pt idx="18">
                  <c:v>14331</c:v>
                </c:pt>
                <c:pt idx="19">
                  <c:v>17288</c:v>
                </c:pt>
              </c:numCache>
            </c:numRef>
          </c:val>
          <c:extLst>
            <c:ext xmlns:c16="http://schemas.microsoft.com/office/drawing/2014/chart" uri="{C3380CC4-5D6E-409C-BE32-E72D297353CC}">
              <c16:uniqueId val="{00000003-1AFC-4385-A8E2-DF6B6F29646F}"/>
            </c:ext>
          </c:extLst>
        </c:ser>
        <c:ser>
          <c:idx val="4"/>
          <c:order val="4"/>
          <c:tx>
            <c:strRef>
              <c:f>model!$B$6</c:f>
              <c:strCache>
                <c:ptCount val="1"/>
                <c:pt idx="0">
                  <c:v>Subscriptions</c:v>
                </c:pt>
              </c:strCache>
            </c:strRef>
          </c:tx>
          <c:spPr>
            <a:solidFill>
              <a:schemeClr val="accent5"/>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model!$S$6:$AL$6</c:f>
              <c:numCache>
                <c:formatCode>#,##0</c:formatCode>
                <c:ptCount val="20"/>
                <c:pt idx="0">
                  <c:v>5556</c:v>
                </c:pt>
                <c:pt idx="1">
                  <c:v>6018</c:v>
                </c:pt>
                <c:pt idx="2">
                  <c:v>6572</c:v>
                </c:pt>
                <c:pt idx="3">
                  <c:v>7350</c:v>
                </c:pt>
                <c:pt idx="4">
                  <c:v>6381</c:v>
                </c:pt>
                <c:pt idx="5">
                  <c:v>7451</c:v>
                </c:pt>
                <c:pt idx="6">
                  <c:v>7612</c:v>
                </c:pt>
                <c:pt idx="7">
                  <c:v>9716</c:v>
                </c:pt>
                <c:pt idx="8">
                  <c:v>7877</c:v>
                </c:pt>
                <c:pt idx="9">
                  <c:v>8757</c:v>
                </c:pt>
                <c:pt idx="10">
                  <c:v>9548</c:v>
                </c:pt>
                <c:pt idx="11">
                  <c:v>9189</c:v>
                </c:pt>
                <c:pt idx="12">
                  <c:v>9657</c:v>
                </c:pt>
                <c:pt idx="13">
                  <c:v>9894</c:v>
                </c:pt>
                <c:pt idx="14">
                  <c:v>12060</c:v>
                </c:pt>
                <c:pt idx="15">
                  <c:v>10488</c:v>
                </c:pt>
                <c:pt idx="16">
                  <c:v>10722</c:v>
                </c:pt>
                <c:pt idx="17">
                  <c:v>10866</c:v>
                </c:pt>
                <c:pt idx="18">
                  <c:v>11278</c:v>
                </c:pt>
                <c:pt idx="19">
                  <c:v>11508</c:v>
                </c:pt>
              </c:numCache>
            </c:numRef>
          </c:val>
          <c:extLst>
            <c:ext xmlns:c16="http://schemas.microsoft.com/office/drawing/2014/chart" uri="{C3380CC4-5D6E-409C-BE32-E72D297353CC}">
              <c16:uniqueId val="{00000004-1AFC-4385-A8E2-DF6B6F29646F}"/>
            </c:ext>
          </c:extLst>
        </c:ser>
        <c:ser>
          <c:idx val="5"/>
          <c:order val="5"/>
          <c:tx>
            <c:strRef>
              <c:f>model!$B$7</c:f>
              <c:strCache>
                <c:ptCount val="1"/>
                <c:pt idx="0">
                  <c:v>AWS</c:v>
                </c:pt>
              </c:strCache>
            </c:strRef>
          </c:tx>
          <c:spPr>
            <a:solidFill>
              <a:schemeClr val="accent6"/>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model!$S$7:$AL$7</c:f>
              <c:numCache>
                <c:formatCode>#,##0</c:formatCode>
                <c:ptCount val="20"/>
                <c:pt idx="0">
                  <c:v>10219</c:v>
                </c:pt>
                <c:pt idx="1">
                  <c:v>10808</c:v>
                </c:pt>
                <c:pt idx="2">
                  <c:v>11601</c:v>
                </c:pt>
                <c:pt idx="3">
                  <c:v>12742</c:v>
                </c:pt>
                <c:pt idx="4">
                  <c:v>13503</c:v>
                </c:pt>
                <c:pt idx="5">
                  <c:v>14809</c:v>
                </c:pt>
                <c:pt idx="6">
                  <c:v>16110</c:v>
                </c:pt>
                <c:pt idx="7">
                  <c:v>1780</c:v>
                </c:pt>
                <c:pt idx="8">
                  <c:v>18441</c:v>
                </c:pt>
                <c:pt idx="9">
                  <c:v>19793</c:v>
                </c:pt>
                <c:pt idx="10">
                  <c:v>20538</c:v>
                </c:pt>
                <c:pt idx="11">
                  <c:v>21378</c:v>
                </c:pt>
                <c:pt idx="12">
                  <c:v>21354</c:v>
                </c:pt>
                <c:pt idx="13">
                  <c:v>22140</c:v>
                </c:pt>
                <c:pt idx="14">
                  <c:v>23059</c:v>
                </c:pt>
                <c:pt idx="15">
                  <c:v>24204</c:v>
                </c:pt>
                <c:pt idx="16">
                  <c:v>25037</c:v>
                </c:pt>
                <c:pt idx="17">
                  <c:v>26281</c:v>
                </c:pt>
                <c:pt idx="18">
                  <c:v>27452</c:v>
                </c:pt>
                <c:pt idx="19">
                  <c:v>28786</c:v>
                </c:pt>
              </c:numCache>
            </c:numRef>
          </c:val>
          <c:extLst>
            <c:ext xmlns:c16="http://schemas.microsoft.com/office/drawing/2014/chart" uri="{C3380CC4-5D6E-409C-BE32-E72D297353CC}">
              <c16:uniqueId val="{00000005-1AFC-4385-A8E2-DF6B6F29646F}"/>
            </c:ext>
          </c:extLst>
        </c:ser>
        <c:ser>
          <c:idx val="6"/>
          <c:order val="6"/>
          <c:tx>
            <c:strRef>
              <c:f>model!$B$8</c:f>
              <c:strCache>
                <c:ptCount val="1"/>
                <c:pt idx="0">
                  <c:v>Other</c:v>
                </c:pt>
              </c:strCache>
            </c:strRef>
          </c:tx>
          <c:spPr>
            <a:solidFill>
              <a:schemeClr val="accent1">
                <a:lumMod val="60000"/>
              </a:schemeClr>
            </a:solidFill>
            <a:ln>
              <a:noFill/>
            </a:ln>
            <a:effectLst/>
          </c:spPr>
          <c:invertIfNegative val="0"/>
          <c:cat>
            <c:strRef>
              <c:f>model!$S$1:$AL$1</c:f>
              <c:strCache>
                <c:ptCount val="20"/>
                <c:pt idx="0">
                  <c:v>Q1 2020 </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strCache>
            </c:strRef>
          </c:cat>
          <c:val>
            <c:numRef>
              <c:f>model!$S$8:$AL$8</c:f>
              <c:numCache>
                <c:formatCode>#,##0</c:formatCode>
                <c:ptCount val="20"/>
                <c:pt idx="0">
                  <c:v>3906</c:v>
                </c:pt>
                <c:pt idx="1">
                  <c:v>4221</c:v>
                </c:pt>
                <c:pt idx="2">
                  <c:v>5398</c:v>
                </c:pt>
                <c:pt idx="3">
                  <c:v>602</c:v>
                </c:pt>
                <c:pt idx="4">
                  <c:v>524</c:v>
                </c:pt>
                <c:pt idx="5">
                  <c:v>463</c:v>
                </c:pt>
                <c:pt idx="6">
                  <c:v>479</c:v>
                </c:pt>
                <c:pt idx="7">
                  <c:v>710</c:v>
                </c:pt>
                <c:pt idx="8">
                  <c:v>661</c:v>
                </c:pt>
                <c:pt idx="9">
                  <c:v>1070</c:v>
                </c:pt>
                <c:pt idx="10">
                  <c:v>1263</c:v>
                </c:pt>
                <c:pt idx="11">
                  <c:v>1253</c:v>
                </c:pt>
                <c:pt idx="12">
                  <c:v>1027</c:v>
                </c:pt>
                <c:pt idx="13">
                  <c:v>1344</c:v>
                </c:pt>
                <c:pt idx="14">
                  <c:v>1226</c:v>
                </c:pt>
                <c:pt idx="15">
                  <c:v>1361</c:v>
                </c:pt>
                <c:pt idx="16">
                  <c:v>1262</c:v>
                </c:pt>
                <c:pt idx="17">
                  <c:v>1260</c:v>
                </c:pt>
                <c:pt idx="18">
                  <c:v>1313</c:v>
                </c:pt>
                <c:pt idx="19">
                  <c:v>1590</c:v>
                </c:pt>
              </c:numCache>
            </c:numRef>
          </c:val>
          <c:extLst>
            <c:ext xmlns:c16="http://schemas.microsoft.com/office/drawing/2014/chart" uri="{C3380CC4-5D6E-409C-BE32-E72D297353CC}">
              <c16:uniqueId val="{00000006-1AFC-4385-A8E2-DF6B6F29646F}"/>
            </c:ext>
          </c:extLst>
        </c:ser>
        <c:dLbls>
          <c:showLegendKey val="0"/>
          <c:showVal val="0"/>
          <c:showCatName val="0"/>
          <c:showSerName val="0"/>
          <c:showPercent val="0"/>
          <c:showBubbleSize val="0"/>
        </c:dLbls>
        <c:gapWidth val="150"/>
        <c:overlap val="100"/>
        <c:axId val="1118175728"/>
        <c:axId val="1118180048"/>
      </c:barChart>
      <c:catAx>
        <c:axId val="111817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80048"/>
        <c:crosses val="autoZero"/>
        <c:auto val="1"/>
        <c:lblAlgn val="ctr"/>
        <c:lblOffset val="100"/>
        <c:noMultiLvlLbl val="0"/>
      </c:catAx>
      <c:valAx>
        <c:axId val="1118180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75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model!$B$46</c:f>
              <c:strCache>
                <c:ptCount val="1"/>
                <c:pt idx="0">
                  <c:v>FCF TTM</c:v>
                </c:pt>
              </c:strCache>
            </c:strRef>
          </c:tx>
          <c:spPr>
            <a:solidFill>
              <a:schemeClr val="accent1"/>
            </a:solidFill>
            <a:ln>
              <a:noFill/>
            </a:ln>
            <a:effectLst/>
          </c:spPr>
          <c:invertIfNegative val="0"/>
          <c:cat>
            <c:strRef>
              <c:f>model!$AB$1:$AL$1</c:f>
              <c:strCache>
                <c:ptCount val="11"/>
                <c:pt idx="0">
                  <c:v>Q2 2022</c:v>
                </c:pt>
                <c:pt idx="1">
                  <c:v>Q3 2022</c:v>
                </c:pt>
                <c:pt idx="2">
                  <c:v>Q4 2022</c:v>
                </c:pt>
                <c:pt idx="3">
                  <c:v>Q1 2023</c:v>
                </c:pt>
                <c:pt idx="4">
                  <c:v>Q2 2023</c:v>
                </c:pt>
                <c:pt idx="5">
                  <c:v>Q3 2023</c:v>
                </c:pt>
                <c:pt idx="6">
                  <c:v>Q4 2023</c:v>
                </c:pt>
                <c:pt idx="7">
                  <c:v>Q1 2024</c:v>
                </c:pt>
                <c:pt idx="8">
                  <c:v>Q2 2024</c:v>
                </c:pt>
                <c:pt idx="9">
                  <c:v>Q3 2024</c:v>
                </c:pt>
                <c:pt idx="10">
                  <c:v>Q4 2024</c:v>
                </c:pt>
              </c:strCache>
            </c:strRef>
          </c:cat>
          <c:val>
            <c:numRef>
              <c:f>model!$AB$46:$AL$46</c:f>
              <c:numCache>
                <c:formatCode>#,##0</c:formatCode>
                <c:ptCount val="11"/>
                <c:pt idx="0">
                  <c:v>-29784</c:v>
                </c:pt>
                <c:pt idx="1">
                  <c:v>-26323</c:v>
                </c:pt>
                <c:pt idx="2">
                  <c:v>-16893</c:v>
                </c:pt>
                <c:pt idx="3">
                  <c:v>-9289</c:v>
                </c:pt>
                <c:pt idx="4">
                  <c:v>2491</c:v>
                </c:pt>
                <c:pt idx="5">
                  <c:v>16203</c:v>
                </c:pt>
                <c:pt idx="6">
                  <c:v>31499</c:v>
                </c:pt>
                <c:pt idx="7">
                  <c:v>46418</c:v>
                </c:pt>
                <c:pt idx="8">
                  <c:v>49058</c:v>
                </c:pt>
                <c:pt idx="9">
                  <c:v>43671</c:v>
                </c:pt>
                <c:pt idx="10">
                  <c:v>33596</c:v>
                </c:pt>
              </c:numCache>
            </c:numRef>
          </c:val>
          <c:extLst>
            <c:ext xmlns:c16="http://schemas.microsoft.com/office/drawing/2014/chart" uri="{C3380CC4-5D6E-409C-BE32-E72D297353CC}">
              <c16:uniqueId val="{00000000-2932-4E1E-9C0C-3CBEE2A35FD8}"/>
            </c:ext>
          </c:extLst>
        </c:ser>
        <c:dLbls>
          <c:showLegendKey val="0"/>
          <c:showVal val="0"/>
          <c:showCatName val="0"/>
          <c:showSerName val="0"/>
          <c:showPercent val="0"/>
          <c:showBubbleSize val="0"/>
        </c:dLbls>
        <c:gapWidth val="219"/>
        <c:overlap val="-27"/>
        <c:axId val="1005941504"/>
        <c:axId val="1005945344"/>
      </c:barChart>
      <c:catAx>
        <c:axId val="10059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45344"/>
        <c:crosses val="autoZero"/>
        <c:auto val="1"/>
        <c:lblAlgn val="ctr"/>
        <c:lblOffset val="100"/>
        <c:noMultiLvlLbl val="0"/>
      </c:catAx>
      <c:valAx>
        <c:axId val="100594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4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model!$B$41</c:f>
              <c:strCache>
                <c:ptCount val="1"/>
                <c:pt idx="0">
                  <c:v>CAPEX</c:v>
                </c:pt>
              </c:strCache>
            </c:strRef>
          </c:tx>
          <c:spPr>
            <a:solidFill>
              <a:schemeClr val="accent1"/>
            </a:solidFill>
            <a:ln>
              <a:noFill/>
            </a:ln>
            <a:effectLst/>
          </c:spPr>
          <c:invertIfNegative val="0"/>
          <c:cat>
            <c:strRef>
              <c:f>model!$Y$1:$AL$1</c:f>
              <c:strCache>
                <c:ptCount val="14"/>
                <c:pt idx="0">
                  <c:v>Q3 2021</c:v>
                </c:pt>
                <c:pt idx="1">
                  <c:v>Q4 2021</c:v>
                </c:pt>
                <c:pt idx="2">
                  <c:v>Q1 2022</c:v>
                </c:pt>
                <c:pt idx="3">
                  <c:v>Q2 2022</c:v>
                </c:pt>
                <c:pt idx="4">
                  <c:v>Q3 2022</c:v>
                </c:pt>
                <c:pt idx="5">
                  <c:v>Q4 2022</c:v>
                </c:pt>
                <c:pt idx="6">
                  <c:v>Q1 2023</c:v>
                </c:pt>
                <c:pt idx="7">
                  <c:v>Q2 2023</c:v>
                </c:pt>
                <c:pt idx="8">
                  <c:v>Q3 2023</c:v>
                </c:pt>
                <c:pt idx="9">
                  <c:v>Q4 2023</c:v>
                </c:pt>
                <c:pt idx="10">
                  <c:v>Q1 2024</c:v>
                </c:pt>
                <c:pt idx="11">
                  <c:v>Q2 2024</c:v>
                </c:pt>
                <c:pt idx="12">
                  <c:v>Q3 2024</c:v>
                </c:pt>
                <c:pt idx="13">
                  <c:v>Q4 2024</c:v>
                </c:pt>
              </c:strCache>
            </c:strRef>
          </c:cat>
          <c:val>
            <c:numRef>
              <c:f>model!$Y$41:$AL$41</c:f>
              <c:numCache>
                <c:formatCode>#,##0</c:formatCode>
                <c:ptCount val="14"/>
                <c:pt idx="0">
                  <c:v>15748</c:v>
                </c:pt>
                <c:pt idx="1">
                  <c:v>18935</c:v>
                </c:pt>
                <c:pt idx="2">
                  <c:v>14951</c:v>
                </c:pt>
                <c:pt idx="3">
                  <c:v>15724</c:v>
                </c:pt>
                <c:pt idx="4">
                  <c:v>16378</c:v>
                </c:pt>
                <c:pt idx="5">
                  <c:v>16592</c:v>
                </c:pt>
                <c:pt idx="6">
                  <c:v>14925</c:v>
                </c:pt>
                <c:pt idx="7">
                  <c:v>11455</c:v>
                </c:pt>
                <c:pt idx="8">
                  <c:v>12479</c:v>
                </c:pt>
                <c:pt idx="9">
                  <c:v>14588</c:v>
                </c:pt>
                <c:pt idx="10">
                  <c:v>14207</c:v>
                </c:pt>
                <c:pt idx="11">
                  <c:v>17620</c:v>
                </c:pt>
                <c:pt idx="12">
                  <c:v>22620</c:v>
                </c:pt>
                <c:pt idx="13">
                  <c:v>27834</c:v>
                </c:pt>
              </c:numCache>
            </c:numRef>
          </c:val>
          <c:extLst>
            <c:ext xmlns:c16="http://schemas.microsoft.com/office/drawing/2014/chart" uri="{C3380CC4-5D6E-409C-BE32-E72D297353CC}">
              <c16:uniqueId val="{00000000-66C9-4EF9-BCC3-DEDCDC1198A2}"/>
            </c:ext>
          </c:extLst>
        </c:ser>
        <c:dLbls>
          <c:showLegendKey val="0"/>
          <c:showVal val="0"/>
          <c:showCatName val="0"/>
          <c:showSerName val="0"/>
          <c:showPercent val="0"/>
          <c:showBubbleSize val="0"/>
        </c:dLbls>
        <c:gapWidth val="219"/>
        <c:overlap val="-27"/>
        <c:axId val="576306096"/>
        <c:axId val="576318576"/>
      </c:barChart>
      <c:catAx>
        <c:axId val="57630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18576"/>
        <c:crosses val="autoZero"/>
        <c:auto val="1"/>
        <c:lblAlgn val="ctr"/>
        <c:lblOffset val="100"/>
        <c:noMultiLvlLbl val="0"/>
      </c:catAx>
      <c:valAx>
        <c:axId val="576318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161924</xdr:rowOff>
    </xdr:from>
    <xdr:to>
      <xdr:col>7</xdr:col>
      <xdr:colOff>409574</xdr:colOff>
      <xdr:row>58</xdr:row>
      <xdr:rowOff>28574</xdr:rowOff>
    </xdr:to>
    <xdr:graphicFrame macro="">
      <xdr:nvGraphicFramePr>
        <xdr:cNvPr id="2" name="Chart 1">
          <a:extLst>
            <a:ext uri="{FF2B5EF4-FFF2-40B4-BE49-F238E27FC236}">
              <a16:creationId xmlns:a16="http://schemas.microsoft.com/office/drawing/2014/main" id="{1C1236D5-3E18-498C-8981-086920630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31</xdr:row>
      <xdr:rowOff>152399</xdr:rowOff>
    </xdr:from>
    <xdr:to>
      <xdr:col>15</xdr:col>
      <xdr:colOff>400050</xdr:colOff>
      <xdr:row>58</xdr:row>
      <xdr:rowOff>47625</xdr:rowOff>
    </xdr:to>
    <xdr:graphicFrame macro="">
      <xdr:nvGraphicFramePr>
        <xdr:cNvPr id="3" name="Chart 2">
          <a:extLst>
            <a:ext uri="{FF2B5EF4-FFF2-40B4-BE49-F238E27FC236}">
              <a16:creationId xmlns:a16="http://schemas.microsoft.com/office/drawing/2014/main" id="{2614E15F-2001-486C-A6FC-7DF99D17C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161924</xdr:rowOff>
    </xdr:from>
    <xdr:to>
      <xdr:col>7</xdr:col>
      <xdr:colOff>400050</xdr:colOff>
      <xdr:row>78</xdr:row>
      <xdr:rowOff>152399</xdr:rowOff>
    </xdr:to>
    <xdr:graphicFrame macro="">
      <xdr:nvGraphicFramePr>
        <xdr:cNvPr id="4" name="Chart 3">
          <a:extLst>
            <a:ext uri="{FF2B5EF4-FFF2-40B4-BE49-F238E27FC236}">
              <a16:creationId xmlns:a16="http://schemas.microsoft.com/office/drawing/2014/main" id="{CC1A8CD6-D123-4359-8ED7-20EEBAE3A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63</xdr:col>
      <xdr:colOff>0</xdr:colOff>
      <xdr:row>0</xdr:row>
      <xdr:rowOff>0</xdr:rowOff>
    </xdr:from>
    <xdr:to>
      <xdr:col>63</xdr:col>
      <xdr:colOff>9525</xdr:colOff>
      <xdr:row>131</xdr:row>
      <xdr:rowOff>133350</xdr:rowOff>
    </xdr:to>
    <xdr:cxnSp macro="">
      <xdr:nvCxnSpPr>
        <xdr:cNvPr id="3" name="Straight Connector 2">
          <a:extLst>
            <a:ext uri="{FF2B5EF4-FFF2-40B4-BE49-F238E27FC236}">
              <a16:creationId xmlns:a16="http://schemas.microsoft.com/office/drawing/2014/main" id="{6A73B99D-2373-0189-D5ED-CACCBFAAE37A}"/>
            </a:ext>
          </a:extLst>
        </xdr:cNvPr>
        <xdr:cNvCxnSpPr/>
      </xdr:nvCxnSpPr>
      <xdr:spPr>
        <a:xfrm>
          <a:off x="41338500" y="0"/>
          <a:ext cx="9525" cy="2260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6932</xdr:colOff>
      <xdr:row>0</xdr:row>
      <xdr:rowOff>0</xdr:rowOff>
    </xdr:from>
    <xdr:to>
      <xdr:col>38</xdr:col>
      <xdr:colOff>9525</xdr:colOff>
      <xdr:row>130</xdr:row>
      <xdr:rowOff>76200</xdr:rowOff>
    </xdr:to>
    <xdr:cxnSp macro="">
      <xdr:nvCxnSpPr>
        <xdr:cNvPr id="4" name="Straight Connector 3">
          <a:extLst>
            <a:ext uri="{FF2B5EF4-FFF2-40B4-BE49-F238E27FC236}">
              <a16:creationId xmlns:a16="http://schemas.microsoft.com/office/drawing/2014/main" id="{F840019E-E6CC-30BE-53A0-CA73B568FD3F}"/>
            </a:ext>
          </a:extLst>
        </xdr:cNvPr>
        <xdr:cNvCxnSpPr/>
      </xdr:nvCxnSpPr>
      <xdr:spPr>
        <a:xfrm>
          <a:off x="25543457" y="0"/>
          <a:ext cx="2593" cy="223742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https://www.bing.com/financeapi/forcetrigger?t=a1nhlh&amp;q=XNAS%3aAMZN&amp;form=skydnc</v>
    <v>Learn more on Bing</v>
  </rv>
  <rv s="1">
    <v>en-US</v>
    <v>a1nhlh</v>
    <v>268435456</v>
    <v>1</v>
    <v>Powered by Refinitiv</v>
    <v>0</v>
    <v>AMAZON.COM, INC. (XNAS:AMZN)</v>
    <v>2</v>
    <v>3</v>
    <v>Finance</v>
    <v>4</v>
    <v>242.52</v>
    <v>151.61000000000001</v>
    <v>1.3056000000000001</v>
    <v>-14.84</v>
    <v>-7.571E-2</v>
    <v>USD</v>
    <v>Amazon.com, Inc. provides a range of products and services to customers. The products offered through its stores include merchandise and content it has purchased for resale and products offered by third-party sellers. The Company’s segments include North America, International and Amazon Web Services (AWS). It serves consumers through its online and physical stores and focuses on selection, price, and convenience. Customers access its offerings through its websites, mobile apps, Alexa, devices, streaming, and physically visiting its stores. It also manufactures and sells electronic devices, including Kindle, Fire tablet, Fire TV, Echo, Ring, Blink, and eero, and develops and produces media content. It serves developers and enterprises of all sizes, including start-ups, government agencies, and academic institutions, through AWS, which offers a set of on-demand technology services, including compute, storage, database, analytics, and machine learning, and other services.</v>
    <v>1556000</v>
    <v>Nasdaq Stock Market</v>
    <v>XNAS</v>
    <v>XNAS</v>
    <v>410 Terry Avenue North, SEATTLE, WA, 98109 US</v>
    <v>184.13</v>
    <v>Diversified Retail</v>
    <v>Stock</v>
    <v>45750.723843251566</v>
    <v>0</v>
    <v>176.92</v>
    <v>1919990744099</v>
    <v>AMAZON.COM, INC.</v>
    <v>AMAZON.COM, INC.</v>
    <v>183</v>
    <v>32.811500000000002</v>
    <v>196.01</v>
    <v>181.17</v>
    <v>10597730000</v>
    <v>AMZN</v>
    <v>AMAZON.COM, INC. (XNAS:AMZN)</v>
    <v>62243365</v>
    <v>46164960</v>
    <v>1996</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DE07E-293A-4987-BA56-3193A6DAB2C7}">
  <dimension ref="A1:P30"/>
  <sheetViews>
    <sheetView showGridLines="0" topLeftCell="A52" zoomScale="80" zoomScaleNormal="80" workbookViewId="0">
      <selection activeCell="I9" sqref="I9"/>
    </sheetView>
  </sheetViews>
  <sheetFormatPr defaultColWidth="9.109375" defaultRowHeight="13.2"/>
  <cols>
    <col min="1" max="1" width="27.33203125" style="1" customWidth="1"/>
    <col min="2" max="2" width="34.5546875" style="1" bestFit="1" customWidth="1"/>
    <col min="3" max="11" width="9.109375" style="1"/>
    <col min="12" max="12" width="26.5546875" style="1" bestFit="1" customWidth="1"/>
    <col min="13" max="13" width="9.109375" style="1" customWidth="1"/>
    <col min="14" max="16384" width="9.109375" style="1"/>
  </cols>
  <sheetData>
    <row r="1" spans="1:16">
      <c r="A1" s="1" t="s">
        <v>0</v>
      </c>
      <c r="B1" s="15" t="e" vm="1">
        <v>#VALUE!</v>
      </c>
      <c r="E1" s="2" t="s">
        <v>102</v>
      </c>
      <c r="F1" s="14">
        <v>1994</v>
      </c>
      <c r="M1" s="21" t="s">
        <v>130</v>
      </c>
      <c r="N1" s="21"/>
      <c r="O1" s="21"/>
      <c r="P1" s="21"/>
    </row>
    <row r="2" spans="1:16">
      <c r="A2" s="1" t="s">
        <v>1</v>
      </c>
      <c r="B2" s="6">
        <v>185</v>
      </c>
      <c r="E2" s="2" t="s">
        <v>103</v>
      </c>
      <c r="F2" s="14" t="s">
        <v>108</v>
      </c>
      <c r="L2" s="13" t="s">
        <v>128</v>
      </c>
      <c r="M2" s="13" t="s">
        <v>129</v>
      </c>
      <c r="N2" s="2" t="s">
        <v>20</v>
      </c>
      <c r="O2" s="2" t="s">
        <v>17</v>
      </c>
      <c r="P2" s="2" t="s">
        <v>64</v>
      </c>
    </row>
    <row r="3" spans="1:16">
      <c r="A3" s="1" t="s">
        <v>2</v>
      </c>
      <c r="B3" s="3">
        <v>10597.729352</v>
      </c>
      <c r="E3" s="2" t="s">
        <v>104</v>
      </c>
      <c r="F3" s="14" t="s">
        <v>109</v>
      </c>
      <c r="L3" s="12" t="s">
        <v>125</v>
      </c>
      <c r="M3" s="11">
        <v>0.32</v>
      </c>
      <c r="N3" s="4">
        <v>0.33</v>
      </c>
      <c r="O3" s="4">
        <v>0.34</v>
      </c>
      <c r="P3" s="4">
        <v>0.33</v>
      </c>
    </row>
    <row r="4" spans="1:16">
      <c r="A4" s="1" t="s">
        <v>3</v>
      </c>
      <c r="B4" s="3">
        <f>+B2*B3</f>
        <v>1960579.9301200002</v>
      </c>
      <c r="E4" s="2" t="s">
        <v>105</v>
      </c>
      <c r="F4" s="14" t="s">
        <v>131</v>
      </c>
      <c r="L4" s="12" t="s">
        <v>91</v>
      </c>
      <c r="M4" s="11">
        <v>0.23</v>
      </c>
      <c r="N4" s="4">
        <v>0.22</v>
      </c>
      <c r="O4" s="4">
        <v>0.21</v>
      </c>
      <c r="P4" s="4">
        <v>0.2</v>
      </c>
    </row>
    <row r="5" spans="1:16">
      <c r="A5" s="1" t="s">
        <v>4</v>
      </c>
      <c r="B5" s="3">
        <f>75091+12960</f>
        <v>88051</v>
      </c>
      <c r="C5" s="1" t="s">
        <v>178</v>
      </c>
      <c r="E5" s="2" t="s">
        <v>106</v>
      </c>
      <c r="F5" s="14" t="s">
        <v>110</v>
      </c>
      <c r="L5" s="12" t="s">
        <v>92</v>
      </c>
      <c r="M5" s="11">
        <v>0.12</v>
      </c>
      <c r="N5" s="4">
        <v>0.1</v>
      </c>
      <c r="O5" s="4">
        <v>0.09</v>
      </c>
      <c r="P5" s="4">
        <v>0.08</v>
      </c>
    </row>
    <row r="6" spans="1:16">
      <c r="A6" s="1" t="s">
        <v>5</v>
      </c>
      <c r="B6" s="3">
        <v>54890</v>
      </c>
      <c r="C6" s="1" t="s">
        <v>178</v>
      </c>
      <c r="E6" s="2" t="s">
        <v>107</v>
      </c>
      <c r="F6" s="14" t="s">
        <v>132</v>
      </c>
      <c r="L6" s="12" t="s">
        <v>93</v>
      </c>
      <c r="M6" s="11">
        <v>0.04</v>
      </c>
      <c r="N6" s="4">
        <v>0.04</v>
      </c>
      <c r="O6" s="4">
        <v>0.05</v>
      </c>
      <c r="P6" s="4">
        <v>0.06</v>
      </c>
    </row>
    <row r="7" spans="1:16">
      <c r="A7" s="1" t="s">
        <v>6</v>
      </c>
      <c r="B7" s="3">
        <f>+B4-B5+B6</f>
        <v>1927418.9301200002</v>
      </c>
      <c r="L7" s="12" t="s">
        <v>126</v>
      </c>
      <c r="M7" s="11">
        <v>0.03</v>
      </c>
      <c r="N7" s="4">
        <v>0.02</v>
      </c>
      <c r="O7" s="4">
        <v>0.02</v>
      </c>
      <c r="P7" s="4">
        <v>0.02</v>
      </c>
    </row>
    <row r="8" spans="1:16">
      <c r="L8" s="12" t="s">
        <v>94</v>
      </c>
      <c r="M8" s="11">
        <v>0.03</v>
      </c>
      <c r="N8" s="4">
        <v>0.03</v>
      </c>
      <c r="O8" s="4">
        <v>0.03</v>
      </c>
      <c r="P8" s="4">
        <v>0.03</v>
      </c>
    </row>
    <row r="9" spans="1:16">
      <c r="A9" s="1" t="s">
        <v>99</v>
      </c>
      <c r="F9" s="2" t="s">
        <v>177</v>
      </c>
      <c r="G9" s="17">
        <f>+B7/model!AK46</f>
        <v>44.134985004236228</v>
      </c>
      <c r="L9" s="12" t="s">
        <v>95</v>
      </c>
      <c r="M9" s="11">
        <v>0.02</v>
      </c>
      <c r="N9" s="4">
        <v>0.02</v>
      </c>
      <c r="O9" s="4">
        <v>0.02</v>
      </c>
      <c r="P9" s="4">
        <v>0.02</v>
      </c>
    </row>
    <row r="10" spans="1:16">
      <c r="A10" s="1" t="s">
        <v>112</v>
      </c>
      <c r="F10" s="2" t="s">
        <v>181</v>
      </c>
      <c r="G10" s="17">
        <f>+B7/model!BK40</f>
        <v>16.633317484228968</v>
      </c>
      <c r="L10" s="12" t="s">
        <v>96</v>
      </c>
      <c r="M10" s="11">
        <v>0.02</v>
      </c>
      <c r="N10" s="4">
        <v>0.02</v>
      </c>
      <c r="O10" s="4">
        <v>0.02</v>
      </c>
      <c r="P10" s="4">
        <v>0.02</v>
      </c>
    </row>
    <row r="11" spans="1:16">
      <c r="A11" s="1" t="s">
        <v>135</v>
      </c>
      <c r="L11" s="12" t="s">
        <v>127</v>
      </c>
      <c r="M11" s="11">
        <v>0.19</v>
      </c>
      <c r="N11" s="4">
        <v>0.22</v>
      </c>
      <c r="O11" s="4">
        <v>0.22</v>
      </c>
      <c r="P11" s="4">
        <v>0.24</v>
      </c>
    </row>
    <row r="12" spans="1:16">
      <c r="A12" s="1" t="s">
        <v>113</v>
      </c>
    </row>
    <row r="14" spans="1:16">
      <c r="A14" s="2" t="s">
        <v>111</v>
      </c>
    </row>
    <row r="15" spans="1:16">
      <c r="A15" s="1" t="s">
        <v>133</v>
      </c>
    </row>
    <row r="16" spans="1:16">
      <c r="A16" s="1" t="s">
        <v>136</v>
      </c>
    </row>
    <row r="17" spans="1:2">
      <c r="A17" s="1" t="s">
        <v>114</v>
      </c>
    </row>
    <row r="18" spans="1:2">
      <c r="A18" s="1" t="s">
        <v>134</v>
      </c>
    </row>
    <row r="20" spans="1:2">
      <c r="A20" s="2" t="s">
        <v>119</v>
      </c>
    </row>
    <row r="21" spans="1:2">
      <c r="A21" s="1" t="s">
        <v>115</v>
      </c>
    </row>
    <row r="22" spans="1:2">
      <c r="A22" s="1" t="s">
        <v>116</v>
      </c>
    </row>
    <row r="23" spans="1:2">
      <c r="A23" s="1" t="s">
        <v>117</v>
      </c>
    </row>
    <row r="24" spans="1:2">
      <c r="A24" s="1" t="s">
        <v>118</v>
      </c>
    </row>
    <row r="25" spans="1:2">
      <c r="A25" s="1" t="s">
        <v>120</v>
      </c>
      <c r="B25" s="18" t="s">
        <v>182</v>
      </c>
    </row>
    <row r="27" spans="1:2">
      <c r="A27" s="2" t="s">
        <v>121</v>
      </c>
    </row>
    <row r="28" spans="1:2">
      <c r="A28" s="1" t="s">
        <v>122</v>
      </c>
    </row>
    <row r="29" spans="1:2">
      <c r="A29" s="1" t="s">
        <v>123</v>
      </c>
    </row>
    <row r="30" spans="1:2">
      <c r="A30" s="1" t="s">
        <v>124</v>
      </c>
    </row>
  </sheetData>
  <mergeCells count="1">
    <mergeCell ref="M1:P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4AF9-4503-4FA4-AC02-B00133DCC55E}">
  <dimension ref="A1:DT128"/>
  <sheetViews>
    <sheetView tabSelected="1" zoomScaleNormal="100" workbookViewId="0">
      <pane xSplit="2" ySplit="1" topLeftCell="AK96" activePane="bottomRight" state="frozen"/>
      <selection pane="topRight" activeCell="B1" sqref="B1"/>
      <selection pane="bottomLeft" activeCell="A2" sqref="A2"/>
      <selection pane="bottomRight" activeCell="AN118" sqref="AN118"/>
    </sheetView>
  </sheetViews>
  <sheetFormatPr defaultColWidth="9.109375" defaultRowHeight="13.2"/>
  <cols>
    <col min="1" max="1" width="5.109375" style="1" bestFit="1" customWidth="1"/>
    <col min="2" max="2" width="32.33203125" style="1" bestFit="1" customWidth="1"/>
    <col min="3" max="26" width="9.33203125" style="1" customWidth="1"/>
    <col min="27" max="27" width="9.44140625" style="1" bestFit="1" customWidth="1"/>
    <col min="28" max="36" width="9.33203125" style="1" bestFit="1" customWidth="1"/>
    <col min="37" max="54" width="9.109375" style="1"/>
    <col min="55" max="67" width="9.33203125" style="1" bestFit="1" customWidth="1"/>
    <col min="68" max="70" width="9.21875" style="1" customWidth="1"/>
    <col min="71" max="71" width="9.109375" style="1" customWidth="1"/>
    <col min="72" max="72" width="16.6640625" style="1" bestFit="1" customWidth="1"/>
    <col min="73" max="73" width="14" style="1" bestFit="1" customWidth="1"/>
    <col min="74" max="74" width="15" style="1" bestFit="1" customWidth="1"/>
    <col min="75" max="124" width="9.33203125" style="1" bestFit="1" customWidth="1"/>
    <col min="125" max="16384" width="9.109375" style="1"/>
  </cols>
  <sheetData>
    <row r="1" spans="1:74" ht="14.4">
      <c r="A1" s="9" t="s">
        <v>98</v>
      </c>
      <c r="B1" s="2"/>
      <c r="C1" s="2" t="s">
        <v>83</v>
      </c>
      <c r="D1" s="2" t="s">
        <v>84</v>
      </c>
      <c r="E1" s="2" t="s">
        <v>85</v>
      </c>
      <c r="F1" s="2" t="s">
        <v>86</v>
      </c>
      <c r="G1" s="2" t="s">
        <v>82</v>
      </c>
      <c r="H1" s="2" t="s">
        <v>79</v>
      </c>
      <c r="I1" s="2" t="s">
        <v>80</v>
      </c>
      <c r="J1" s="2" t="s">
        <v>81</v>
      </c>
      <c r="K1" s="2" t="s">
        <v>78</v>
      </c>
      <c r="L1" s="2" t="s">
        <v>77</v>
      </c>
      <c r="M1" s="2" t="s">
        <v>76</v>
      </c>
      <c r="N1" s="2" t="s">
        <v>75</v>
      </c>
      <c r="O1" s="2" t="s">
        <v>74</v>
      </c>
      <c r="P1" s="2" t="s">
        <v>73</v>
      </c>
      <c r="Q1" s="2" t="s">
        <v>72</v>
      </c>
      <c r="R1" s="2" t="s">
        <v>71</v>
      </c>
      <c r="S1" s="2" t="s">
        <v>67</v>
      </c>
      <c r="T1" s="2" t="s">
        <v>68</v>
      </c>
      <c r="U1" s="2" t="s">
        <v>69</v>
      </c>
      <c r="V1" s="2" t="s">
        <v>70</v>
      </c>
      <c r="W1" s="2" t="s">
        <v>63</v>
      </c>
      <c r="X1" s="2" t="s">
        <v>64</v>
      </c>
      <c r="Y1" s="2" t="s">
        <v>65</v>
      </c>
      <c r="Z1" s="2" t="s">
        <v>66</v>
      </c>
      <c r="AA1" s="2" t="s">
        <v>14</v>
      </c>
      <c r="AB1" s="2" t="s">
        <v>17</v>
      </c>
      <c r="AC1" s="2" t="s">
        <v>18</v>
      </c>
      <c r="AD1" s="2" t="s">
        <v>19</v>
      </c>
      <c r="AE1" s="2" t="s">
        <v>15</v>
      </c>
      <c r="AF1" s="2" t="s">
        <v>20</v>
      </c>
      <c r="AG1" s="2" t="s">
        <v>21</v>
      </c>
      <c r="AH1" s="2" t="s">
        <v>22</v>
      </c>
      <c r="AI1" s="2" t="s">
        <v>16</v>
      </c>
      <c r="AJ1" s="2" t="s">
        <v>97</v>
      </c>
      <c r="AK1" s="2" t="s">
        <v>178</v>
      </c>
      <c r="AL1" s="2" t="s">
        <v>179</v>
      </c>
      <c r="AT1" s="2">
        <f t="shared" ref="AT1:BA1" si="0">+AU1-1</f>
        <v>2007</v>
      </c>
      <c r="AU1" s="2">
        <f t="shared" si="0"/>
        <v>2008</v>
      </c>
      <c r="AV1" s="2">
        <f t="shared" si="0"/>
        <v>2009</v>
      </c>
      <c r="AW1" s="2">
        <f t="shared" si="0"/>
        <v>2010</v>
      </c>
      <c r="AX1" s="2">
        <f t="shared" si="0"/>
        <v>2011</v>
      </c>
      <c r="AY1" s="2">
        <f t="shared" si="0"/>
        <v>2012</v>
      </c>
      <c r="AZ1" s="2">
        <f t="shared" si="0"/>
        <v>2013</v>
      </c>
      <c r="BA1" s="2">
        <f t="shared" si="0"/>
        <v>2014</v>
      </c>
      <c r="BB1" s="2">
        <f>+BC1-1</f>
        <v>2015</v>
      </c>
      <c r="BC1" s="2">
        <v>2016</v>
      </c>
      <c r="BD1" s="2">
        <v>2017</v>
      </c>
      <c r="BE1" s="2">
        <v>2018</v>
      </c>
      <c r="BF1" s="2">
        <v>2019</v>
      </c>
      <c r="BG1" s="2">
        <v>2020</v>
      </c>
      <c r="BH1" s="2">
        <v>2021</v>
      </c>
      <c r="BI1" s="2">
        <v>2022</v>
      </c>
      <c r="BJ1" s="2">
        <v>2023</v>
      </c>
      <c r="BK1" s="2">
        <f>+BJ1+1</f>
        <v>2024</v>
      </c>
      <c r="BL1" s="2">
        <f t="shared" ref="BL1:BQ1" si="1">+BK1+1</f>
        <v>2025</v>
      </c>
      <c r="BM1" s="2">
        <f t="shared" si="1"/>
        <v>2026</v>
      </c>
      <c r="BN1" s="2">
        <f t="shared" si="1"/>
        <v>2027</v>
      </c>
      <c r="BO1" s="2">
        <f t="shared" si="1"/>
        <v>2028</v>
      </c>
      <c r="BP1" s="2">
        <f t="shared" si="1"/>
        <v>2029</v>
      </c>
      <c r="BQ1" s="2">
        <f t="shared" si="1"/>
        <v>2030</v>
      </c>
      <c r="BR1" s="2">
        <f t="shared" ref="BR1" si="2">+BQ1+1</f>
        <v>2031</v>
      </c>
      <c r="BS1" s="2">
        <f t="shared" ref="BS1" si="3">+BR1+1</f>
        <v>2032</v>
      </c>
    </row>
    <row r="2" spans="1:74">
      <c r="B2" s="1" t="s">
        <v>7</v>
      </c>
      <c r="C2" s="3"/>
      <c r="D2" s="3"/>
      <c r="E2" s="3"/>
      <c r="F2" s="3"/>
      <c r="G2" s="3"/>
      <c r="H2" s="3"/>
      <c r="I2" s="3"/>
      <c r="J2" s="3"/>
      <c r="K2" s="3"/>
      <c r="L2" s="3"/>
      <c r="M2" s="3"/>
      <c r="N2" s="3"/>
      <c r="O2" s="3">
        <v>29498</v>
      </c>
      <c r="P2" s="3">
        <v>31053</v>
      </c>
      <c r="Q2" s="3"/>
      <c r="R2" s="3"/>
      <c r="S2" s="3">
        <v>36652</v>
      </c>
      <c r="T2" s="3">
        <v>45896</v>
      </c>
      <c r="U2" s="3">
        <v>48350</v>
      </c>
      <c r="V2" s="3">
        <v>66451</v>
      </c>
      <c r="W2" s="3">
        <v>52901</v>
      </c>
      <c r="X2" s="3">
        <v>53157</v>
      </c>
      <c r="Y2" s="3">
        <v>49942</v>
      </c>
      <c r="Z2" s="3">
        <v>66075</v>
      </c>
      <c r="AA2" s="3">
        <v>51129</v>
      </c>
      <c r="AB2" s="3">
        <v>50885</v>
      </c>
      <c r="AC2" s="3">
        <v>53489</v>
      </c>
      <c r="AD2" s="3">
        <v>64531</v>
      </c>
      <c r="AE2" s="3">
        <v>51096</v>
      </c>
      <c r="AF2" s="3">
        <v>52966</v>
      </c>
      <c r="AG2" s="3">
        <v>57267</v>
      </c>
      <c r="AH2" s="3">
        <v>70543</v>
      </c>
      <c r="AI2" s="3">
        <v>54670</v>
      </c>
      <c r="AJ2" s="3">
        <v>55392</v>
      </c>
      <c r="AK2" s="3">
        <v>61411</v>
      </c>
      <c r="AL2" s="3">
        <f t="shared" ref="AL2" si="4">+BK2-SUM(AI2:AK2)</f>
        <v>75556</v>
      </c>
      <c r="BC2" s="3"/>
      <c r="BD2" s="3">
        <v>108354</v>
      </c>
      <c r="BE2" s="3">
        <v>122987</v>
      </c>
      <c r="BF2" s="3">
        <v>141247</v>
      </c>
      <c r="BG2" s="3">
        <v>197346</v>
      </c>
      <c r="BH2" s="3">
        <v>222075</v>
      </c>
      <c r="BI2" s="3">
        <v>220004</v>
      </c>
      <c r="BJ2" s="3">
        <v>231872</v>
      </c>
      <c r="BK2" s="3">
        <v>247029</v>
      </c>
      <c r="BL2" s="3">
        <f t="shared" ref="BL2:BP2" si="5">+BK2*1.06</f>
        <v>261850.74000000002</v>
      </c>
      <c r="BM2" s="3">
        <f>+BL2*1.065</f>
        <v>278871.03810000001</v>
      </c>
      <c r="BN2" s="3">
        <f t="shared" ref="BN2" si="6">+BM2*1.065</f>
        <v>296997.65557649999</v>
      </c>
      <c r="BO2" s="3">
        <f t="shared" si="5"/>
        <v>314817.51491109002</v>
      </c>
      <c r="BP2" s="3">
        <f t="shared" si="5"/>
        <v>333706.56580575544</v>
      </c>
      <c r="BQ2" s="3">
        <f>+BP2*1.05</f>
        <v>350391.89409604325</v>
      </c>
      <c r="BR2" s="3">
        <f t="shared" ref="BR2:BS2" si="7">+BQ2*1.05</f>
        <v>367911.48880084546</v>
      </c>
      <c r="BS2" s="3">
        <f t="shared" si="7"/>
        <v>386307.06324088777</v>
      </c>
      <c r="BU2" s="1" t="s">
        <v>57</v>
      </c>
      <c r="BV2" s="16">
        <v>0.11</v>
      </c>
    </row>
    <row r="3" spans="1:74">
      <c r="B3" s="1" t="s">
        <v>8</v>
      </c>
      <c r="C3" s="3"/>
      <c r="D3" s="3"/>
      <c r="E3" s="3"/>
      <c r="F3" s="3"/>
      <c r="G3" s="3"/>
      <c r="H3" s="3"/>
      <c r="I3" s="3"/>
      <c r="J3" s="3"/>
      <c r="K3" s="3"/>
      <c r="L3" s="3"/>
      <c r="M3" s="3"/>
      <c r="N3" s="3"/>
      <c r="O3" s="3">
        <v>4307</v>
      </c>
      <c r="P3" s="3">
        <v>4330</v>
      </c>
      <c r="Q3" s="3"/>
      <c r="R3" s="3"/>
      <c r="S3" s="3">
        <v>4640</v>
      </c>
      <c r="T3" s="3">
        <v>3774</v>
      </c>
      <c r="U3" s="3">
        <v>3788</v>
      </c>
      <c r="V3" s="3">
        <v>4022</v>
      </c>
      <c r="W3" s="3">
        <v>3920</v>
      </c>
      <c r="X3" s="3">
        <v>4198</v>
      </c>
      <c r="Y3" s="3">
        <v>4269</v>
      </c>
      <c r="Z3" s="3">
        <v>4688</v>
      </c>
      <c r="AA3" s="3">
        <v>4591</v>
      </c>
      <c r="AB3" s="3">
        <v>4721</v>
      </c>
      <c r="AC3" s="3">
        <v>4694</v>
      </c>
      <c r="AD3" s="3">
        <v>4957</v>
      </c>
      <c r="AE3" s="3">
        <v>4895</v>
      </c>
      <c r="AF3" s="3">
        <v>5024</v>
      </c>
      <c r="AG3" s="3">
        <v>4959</v>
      </c>
      <c r="AH3" s="3">
        <v>5152</v>
      </c>
      <c r="AI3" s="3">
        <v>5202</v>
      </c>
      <c r="AJ3" s="3">
        <v>5206</v>
      </c>
      <c r="AK3" s="3">
        <v>5228</v>
      </c>
      <c r="AL3" s="3">
        <f>+BK3-SUM(AI3:AK3)</f>
        <v>5579</v>
      </c>
      <c r="BC3" s="3"/>
      <c r="BD3" s="3">
        <v>5798</v>
      </c>
      <c r="BE3" s="3">
        <v>17224</v>
      </c>
      <c r="BF3" s="3">
        <v>17192</v>
      </c>
      <c r="BG3" s="3">
        <v>16227</v>
      </c>
      <c r="BH3" s="3">
        <v>17075</v>
      </c>
      <c r="BI3" s="3">
        <v>18963</v>
      </c>
      <c r="BJ3" s="3">
        <v>20030</v>
      </c>
      <c r="BK3" s="3">
        <v>21215</v>
      </c>
      <c r="BL3" s="3">
        <f t="shared" ref="BL3:BP3" si="8">+BK3*1.06</f>
        <v>22487.9</v>
      </c>
      <c r="BM3" s="3">
        <f t="shared" si="8"/>
        <v>23837.174000000003</v>
      </c>
      <c r="BN3" s="3">
        <f t="shared" si="8"/>
        <v>25267.404440000006</v>
      </c>
      <c r="BO3" s="3">
        <f t="shared" si="8"/>
        <v>26783.448706400006</v>
      </c>
      <c r="BP3" s="3">
        <f t="shared" si="8"/>
        <v>28390.455628784006</v>
      </c>
      <c r="BQ3" s="3">
        <f>+BP3*1.05</f>
        <v>29809.978410223208</v>
      </c>
      <c r="BR3" s="3">
        <f t="shared" ref="BR3:BS3" si="9">+BQ3*1.05</f>
        <v>31300.477330734371</v>
      </c>
      <c r="BS3" s="3">
        <f t="shared" si="9"/>
        <v>32865.501197271093</v>
      </c>
      <c r="BU3" s="1" t="s">
        <v>58</v>
      </c>
      <c r="BV3" s="4">
        <v>0.02</v>
      </c>
    </row>
    <row r="4" spans="1:74">
      <c r="B4" s="1" t="s">
        <v>9</v>
      </c>
      <c r="C4" s="3"/>
      <c r="D4" s="3"/>
      <c r="E4" s="3"/>
      <c r="F4" s="3"/>
      <c r="G4" s="3"/>
      <c r="H4" s="3"/>
      <c r="I4" s="3"/>
      <c r="J4" s="3"/>
      <c r="K4" s="3"/>
      <c r="L4" s="3"/>
      <c r="M4" s="3"/>
      <c r="N4" s="3"/>
      <c r="O4" s="3">
        <v>11141</v>
      </c>
      <c r="P4" s="3">
        <v>11962</v>
      </c>
      <c r="Q4" s="3"/>
      <c r="R4" s="3"/>
      <c r="S4" s="3">
        <v>14479</v>
      </c>
      <c r="T4" s="3">
        <v>18195</v>
      </c>
      <c r="U4" s="3">
        <v>20436</v>
      </c>
      <c r="V4" s="3">
        <v>27327</v>
      </c>
      <c r="W4" s="3">
        <v>23709</v>
      </c>
      <c r="X4" s="3">
        <v>25085</v>
      </c>
      <c r="Y4" s="3">
        <v>24252</v>
      </c>
      <c r="Z4" s="3">
        <v>30320</v>
      </c>
      <c r="AA4" s="3">
        <v>25335</v>
      </c>
      <c r="AB4" s="3">
        <v>27376</v>
      </c>
      <c r="AC4" s="3">
        <v>28666</v>
      </c>
      <c r="AD4" s="3">
        <v>36339</v>
      </c>
      <c r="AE4" s="3">
        <v>29820</v>
      </c>
      <c r="AF4" s="3">
        <v>32332</v>
      </c>
      <c r="AG4" s="3">
        <v>34342</v>
      </c>
      <c r="AH4" s="3">
        <v>43559</v>
      </c>
      <c r="AI4" s="3">
        <v>34596</v>
      </c>
      <c r="AJ4" s="3">
        <v>36201</v>
      </c>
      <c r="AK4" s="3">
        <v>37864</v>
      </c>
      <c r="AL4" s="3">
        <f t="shared" ref="AL4:AL8" si="10">+BK4-SUM(AI4:AK4)</f>
        <v>47485</v>
      </c>
      <c r="BC4" s="3"/>
      <c r="BD4" s="3">
        <v>31881</v>
      </c>
      <c r="BE4" s="3">
        <v>42745</v>
      </c>
      <c r="BF4" s="3">
        <v>53762</v>
      </c>
      <c r="BG4" s="3">
        <v>80461</v>
      </c>
      <c r="BH4" s="3">
        <v>103366</v>
      </c>
      <c r="BI4" s="3">
        <v>117716</v>
      </c>
      <c r="BJ4" s="3">
        <v>140053</v>
      </c>
      <c r="BK4" s="3">
        <v>156146</v>
      </c>
      <c r="BL4" s="3">
        <f>+BK4*1.15</f>
        <v>179567.9</v>
      </c>
      <c r="BM4" s="3">
        <f>+BL4*1.13</f>
        <v>202911.72699999998</v>
      </c>
      <c r="BN4" s="3">
        <f>+BM4*1.12</f>
        <v>227261.13424000001</v>
      </c>
      <c r="BO4" s="3">
        <f>+BN4*1.12</f>
        <v>254532.47034880004</v>
      </c>
      <c r="BP4" s="3">
        <f>+BO4*1.12</f>
        <v>285076.36679065606</v>
      </c>
      <c r="BQ4" s="3">
        <f>+BP4*1.1</f>
        <v>313584.00346972171</v>
      </c>
      <c r="BR4" s="3">
        <f t="shared" ref="BR4:BS4" si="11">+BQ4*1.1</f>
        <v>344942.40381669393</v>
      </c>
      <c r="BS4" s="3">
        <f t="shared" si="11"/>
        <v>379436.64419836336</v>
      </c>
      <c r="BU4" s="1" t="s">
        <v>175</v>
      </c>
      <c r="BV4" s="4">
        <v>0.15</v>
      </c>
    </row>
    <row r="5" spans="1:74">
      <c r="B5" s="1" t="s">
        <v>10</v>
      </c>
      <c r="C5" s="3"/>
      <c r="D5" s="3"/>
      <c r="E5" s="3"/>
      <c r="F5" s="3"/>
      <c r="G5" s="3"/>
      <c r="H5" s="3"/>
      <c r="I5" s="3"/>
      <c r="J5" s="3"/>
      <c r="K5" s="3"/>
      <c r="L5" s="3"/>
      <c r="M5" s="3"/>
      <c r="N5" s="3"/>
      <c r="O5" s="3"/>
      <c r="P5" s="3"/>
      <c r="Q5" s="3"/>
      <c r="R5" s="3"/>
      <c r="S5" s="3"/>
      <c r="T5" s="3"/>
      <c r="U5" s="3"/>
      <c r="V5" s="3">
        <v>7061</v>
      </c>
      <c r="W5" s="3">
        <v>7580</v>
      </c>
      <c r="X5" s="3">
        <v>7917</v>
      </c>
      <c r="Y5" s="3">
        <v>8148</v>
      </c>
      <c r="Z5" s="3">
        <v>8123</v>
      </c>
      <c r="AA5" s="3">
        <v>8410</v>
      </c>
      <c r="AB5" s="3">
        <v>8716</v>
      </c>
      <c r="AC5" s="3">
        <v>8903</v>
      </c>
      <c r="AD5" s="3">
        <v>1157</v>
      </c>
      <c r="AE5" s="3">
        <v>9509</v>
      </c>
      <c r="AF5" s="3">
        <v>10683</v>
      </c>
      <c r="AG5" s="3">
        <v>10170</v>
      </c>
      <c r="AH5" s="3">
        <v>14654</v>
      </c>
      <c r="AI5" s="3">
        <v>11824</v>
      </c>
      <c r="AJ5" s="3">
        <v>12771</v>
      </c>
      <c r="AK5" s="3">
        <v>14331</v>
      </c>
      <c r="AL5" s="3">
        <f t="shared" si="10"/>
        <v>17288</v>
      </c>
      <c r="BC5" s="3"/>
      <c r="BD5" s="3"/>
      <c r="BF5" s="3">
        <v>19210</v>
      </c>
      <c r="BG5" s="3">
        <v>25207</v>
      </c>
      <c r="BH5" s="3">
        <v>31160</v>
      </c>
      <c r="BI5" s="3">
        <v>37739</v>
      </c>
      <c r="BJ5" s="3">
        <v>46906</v>
      </c>
      <c r="BK5" s="3">
        <v>56214</v>
      </c>
      <c r="BL5" s="3">
        <f t="shared" ref="BL5:BQ5" si="12">+BK5*1.2</f>
        <v>67456.800000000003</v>
      </c>
      <c r="BM5" s="3">
        <f t="shared" si="12"/>
        <v>80948.160000000003</v>
      </c>
      <c r="BN5" s="3">
        <f t="shared" si="12"/>
        <v>97137.792000000001</v>
      </c>
      <c r="BO5" s="3">
        <f t="shared" si="12"/>
        <v>116565.3504</v>
      </c>
      <c r="BP5" s="3">
        <f t="shared" si="12"/>
        <v>139878.42048</v>
      </c>
      <c r="BQ5" s="3">
        <f t="shared" si="12"/>
        <v>167854.10457599998</v>
      </c>
      <c r="BR5" s="3">
        <f t="shared" ref="BR5" si="13">+BQ5*1.2</f>
        <v>201424.92549119997</v>
      </c>
      <c r="BS5" s="3">
        <f t="shared" ref="BS5" si="14">+BR5*1.2</f>
        <v>241709.91058943997</v>
      </c>
      <c r="BU5" s="1" t="s">
        <v>101</v>
      </c>
      <c r="BV5" s="5">
        <f>+NPV(BV2,BK24:DT24)</f>
        <v>2095690.2989329123</v>
      </c>
    </row>
    <row r="6" spans="1:74">
      <c r="B6" s="1" t="s">
        <v>11</v>
      </c>
      <c r="C6" s="3"/>
      <c r="D6" s="3"/>
      <c r="E6" s="3"/>
      <c r="F6" s="3"/>
      <c r="G6" s="3"/>
      <c r="H6" s="3"/>
      <c r="I6" s="3"/>
      <c r="J6" s="3"/>
      <c r="K6" s="3"/>
      <c r="L6" s="3"/>
      <c r="M6" s="3"/>
      <c r="N6" s="3"/>
      <c r="O6" s="3">
        <v>4342</v>
      </c>
      <c r="P6" s="3">
        <v>4676</v>
      </c>
      <c r="Q6" s="3"/>
      <c r="R6" s="3"/>
      <c r="S6" s="3">
        <v>5556</v>
      </c>
      <c r="T6" s="3">
        <v>6018</v>
      </c>
      <c r="U6" s="3">
        <v>6572</v>
      </c>
      <c r="V6" s="3">
        <v>7350</v>
      </c>
      <c r="W6" s="3">
        <v>6381</v>
      </c>
      <c r="X6" s="3">
        <v>7451</v>
      </c>
      <c r="Y6" s="3">
        <v>7612</v>
      </c>
      <c r="Z6" s="3">
        <v>9716</v>
      </c>
      <c r="AA6" s="3">
        <v>7877</v>
      </c>
      <c r="AB6" s="3">
        <v>8757</v>
      </c>
      <c r="AC6" s="3">
        <v>9548</v>
      </c>
      <c r="AD6" s="3">
        <v>9189</v>
      </c>
      <c r="AE6" s="3">
        <v>9657</v>
      </c>
      <c r="AF6" s="3">
        <v>9894</v>
      </c>
      <c r="AG6" s="3">
        <v>12060</v>
      </c>
      <c r="AH6" s="3">
        <v>10488</v>
      </c>
      <c r="AI6" s="3">
        <v>10722</v>
      </c>
      <c r="AJ6" s="3">
        <v>10866</v>
      </c>
      <c r="AK6" s="3">
        <v>11278</v>
      </c>
      <c r="AL6" s="3">
        <f t="shared" si="10"/>
        <v>11508</v>
      </c>
      <c r="BC6" s="3"/>
      <c r="BD6" s="3">
        <v>9721</v>
      </c>
      <c r="BE6" s="3">
        <v>14168</v>
      </c>
      <c r="BF6" s="3">
        <v>12625</v>
      </c>
      <c r="BG6" s="3">
        <v>19773</v>
      </c>
      <c r="BH6" s="3">
        <v>31768</v>
      </c>
      <c r="BI6" s="3">
        <v>35218</v>
      </c>
      <c r="BJ6" s="3">
        <v>40209</v>
      </c>
      <c r="BK6" s="3">
        <v>44374</v>
      </c>
      <c r="BL6" s="3">
        <f>+BK6*1.11</f>
        <v>49255.140000000007</v>
      </c>
      <c r="BM6" s="3">
        <f>+BL6*1.1</f>
        <v>54180.65400000001</v>
      </c>
      <c r="BN6" s="3">
        <f>+BM6*1.1</f>
        <v>59598.719400000016</v>
      </c>
      <c r="BO6" s="3">
        <f>+BN6*1.1</f>
        <v>65558.591340000028</v>
      </c>
      <c r="BP6" s="3">
        <f>+BO6*1.1</f>
        <v>72114.450474000041</v>
      </c>
      <c r="BQ6" s="3">
        <f>+BP6*1.1</f>
        <v>79325.895521400045</v>
      </c>
      <c r="BR6" s="3">
        <f t="shared" ref="BR6:BS6" si="15">+BQ6*1.1</f>
        <v>87258.485073540054</v>
      </c>
      <c r="BS6" s="3">
        <f t="shared" si="15"/>
        <v>95984.333580894061</v>
      </c>
      <c r="BU6" s="1" t="s">
        <v>43</v>
      </c>
      <c r="BV6" s="6">
        <f>+AK48</f>
        <v>33161</v>
      </c>
    </row>
    <row r="7" spans="1:74">
      <c r="B7" s="1" t="s">
        <v>12</v>
      </c>
      <c r="C7" s="3"/>
      <c r="D7" s="3"/>
      <c r="E7" s="3"/>
      <c r="F7" s="3"/>
      <c r="G7" s="3"/>
      <c r="H7" s="3"/>
      <c r="I7" s="3"/>
      <c r="J7" s="3"/>
      <c r="K7" s="3"/>
      <c r="L7" s="3"/>
      <c r="M7" s="3"/>
      <c r="N7" s="3"/>
      <c r="O7" s="3">
        <v>7696</v>
      </c>
      <c r="P7" s="3">
        <v>8381</v>
      </c>
      <c r="Q7" s="3"/>
      <c r="R7" s="3"/>
      <c r="S7" s="3">
        <v>10219</v>
      </c>
      <c r="T7" s="3">
        <v>10808</v>
      </c>
      <c r="U7" s="3">
        <v>11601</v>
      </c>
      <c r="V7" s="3">
        <v>12742</v>
      </c>
      <c r="W7" s="3">
        <v>13503</v>
      </c>
      <c r="X7" s="3">
        <v>14809</v>
      </c>
      <c r="Y7" s="3">
        <v>16110</v>
      </c>
      <c r="Z7" s="3">
        <v>1780</v>
      </c>
      <c r="AA7" s="3">
        <v>18441</v>
      </c>
      <c r="AB7" s="3">
        <v>19793</v>
      </c>
      <c r="AC7" s="3">
        <v>20538</v>
      </c>
      <c r="AD7" s="3">
        <v>21378</v>
      </c>
      <c r="AE7" s="3">
        <v>21354</v>
      </c>
      <c r="AF7" s="3">
        <v>22140</v>
      </c>
      <c r="AG7" s="3">
        <v>23059</v>
      </c>
      <c r="AH7" s="3">
        <v>24204</v>
      </c>
      <c r="AI7" s="3">
        <v>25037</v>
      </c>
      <c r="AJ7" s="3">
        <v>26281</v>
      </c>
      <c r="AK7" s="3">
        <v>27452</v>
      </c>
      <c r="AL7" s="3">
        <f t="shared" si="10"/>
        <v>28786</v>
      </c>
      <c r="BC7" s="3"/>
      <c r="BD7" s="3">
        <v>17459</v>
      </c>
      <c r="BE7" s="3">
        <v>25655</v>
      </c>
      <c r="BF7" s="3">
        <v>35026</v>
      </c>
      <c r="BG7" s="3">
        <v>45370</v>
      </c>
      <c r="BH7" s="3">
        <v>62202</v>
      </c>
      <c r="BI7" s="3">
        <v>80096</v>
      </c>
      <c r="BJ7" s="3">
        <v>90757</v>
      </c>
      <c r="BK7" s="3">
        <v>107556</v>
      </c>
      <c r="BL7" s="3">
        <f t="shared" ref="BL7:BM7" si="16">+BK7*1.18</f>
        <v>126916.07999999999</v>
      </c>
      <c r="BM7" s="3">
        <f t="shared" si="16"/>
        <v>149760.97439999998</v>
      </c>
      <c r="BN7" s="3">
        <f t="shared" ref="BN7:BP7" si="17">+BM7*1.17</f>
        <v>175220.34004799995</v>
      </c>
      <c r="BO7" s="3">
        <f t="shared" si="17"/>
        <v>205007.79785615994</v>
      </c>
      <c r="BP7" s="3">
        <f t="shared" si="17"/>
        <v>239859.12349170711</v>
      </c>
      <c r="BQ7" s="3">
        <f>+BP7*1.05</f>
        <v>251852.07966629247</v>
      </c>
      <c r="BR7" s="3">
        <f t="shared" ref="BR7:BS7" si="18">+BQ7*1.05</f>
        <v>264444.68364960712</v>
      </c>
      <c r="BS7" s="3">
        <f t="shared" si="18"/>
        <v>277666.91783208749</v>
      </c>
      <c r="BU7" s="1" t="s">
        <v>3</v>
      </c>
      <c r="BV7" s="6">
        <f>+BV5+BV6</f>
        <v>2128851.2989329123</v>
      </c>
    </row>
    <row r="8" spans="1:74">
      <c r="B8" s="1" t="s">
        <v>13</v>
      </c>
      <c r="C8" s="3"/>
      <c r="D8" s="3"/>
      <c r="E8" s="3"/>
      <c r="F8" s="3"/>
      <c r="G8" s="3"/>
      <c r="H8" s="3"/>
      <c r="I8" s="3"/>
      <c r="J8" s="3"/>
      <c r="K8" s="3"/>
      <c r="L8" s="3"/>
      <c r="M8" s="3"/>
      <c r="N8" s="3"/>
      <c r="O8" s="3">
        <v>2716</v>
      </c>
      <c r="P8" s="3">
        <v>3002</v>
      </c>
      <c r="Q8" s="3"/>
      <c r="R8" s="3"/>
      <c r="S8" s="3">
        <v>3906</v>
      </c>
      <c r="T8" s="3">
        <v>4221</v>
      </c>
      <c r="U8" s="3">
        <v>5398</v>
      </c>
      <c r="V8" s="3">
        <v>602</v>
      </c>
      <c r="W8" s="3">
        <v>524</v>
      </c>
      <c r="X8" s="3">
        <v>463</v>
      </c>
      <c r="Y8" s="3">
        <v>479</v>
      </c>
      <c r="Z8" s="3">
        <v>710</v>
      </c>
      <c r="AA8" s="3">
        <v>661</v>
      </c>
      <c r="AB8" s="3">
        <v>1070</v>
      </c>
      <c r="AC8" s="3">
        <v>1263</v>
      </c>
      <c r="AD8" s="3">
        <v>1253</v>
      </c>
      <c r="AE8" s="3">
        <v>1027</v>
      </c>
      <c r="AF8" s="3">
        <v>1344</v>
      </c>
      <c r="AG8" s="3">
        <v>1226</v>
      </c>
      <c r="AH8" s="3">
        <v>1361</v>
      </c>
      <c r="AI8" s="3">
        <v>1262</v>
      </c>
      <c r="AJ8" s="3">
        <v>1260</v>
      </c>
      <c r="AK8" s="3">
        <v>1313</v>
      </c>
      <c r="AL8" s="3">
        <f t="shared" si="10"/>
        <v>1590</v>
      </c>
      <c r="BC8" s="3"/>
      <c r="BD8" s="3">
        <v>4653</v>
      </c>
      <c r="BE8" s="3">
        <v>10108</v>
      </c>
      <c r="BF8" s="3">
        <v>1460</v>
      </c>
      <c r="BG8" s="3">
        <v>1680</v>
      </c>
      <c r="BH8" s="3">
        <v>2176</v>
      </c>
      <c r="BI8" s="3">
        <v>4247</v>
      </c>
      <c r="BJ8" s="3">
        <v>4958</v>
      </c>
      <c r="BK8" s="3">
        <v>5425</v>
      </c>
      <c r="BL8" s="3"/>
      <c r="BM8" s="3"/>
      <c r="BN8" s="3"/>
      <c r="BO8" s="3"/>
      <c r="BP8" s="3"/>
      <c r="BQ8" s="3"/>
      <c r="BR8" s="3"/>
      <c r="BS8" s="3"/>
      <c r="BU8" s="1" t="s">
        <v>100</v>
      </c>
      <c r="BV8" s="5">
        <f>+BV7/main!B3</f>
        <v>200.8780587070905</v>
      </c>
    </row>
    <row r="9" spans="1:74">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L9" s="7"/>
      <c r="BC9" s="3"/>
      <c r="BD9" s="3"/>
      <c r="BE9" s="3"/>
      <c r="BF9" s="3"/>
      <c r="BG9" s="3"/>
      <c r="BH9" s="3"/>
      <c r="BI9" s="3"/>
      <c r="BJ9" s="3"/>
      <c r="BK9" s="3"/>
      <c r="BL9" s="3"/>
      <c r="BM9" s="3"/>
      <c r="BN9" s="3"/>
      <c r="BO9" s="3"/>
      <c r="BP9" s="3"/>
      <c r="BQ9" s="3"/>
      <c r="BR9" s="3"/>
      <c r="BS9" s="3"/>
    </row>
    <row r="10" spans="1:74">
      <c r="B10" s="2" t="s">
        <v>183</v>
      </c>
      <c r="C10" s="7">
        <f t="shared" ref="C10:Y10" si="19">+SUM(C2:C8)</f>
        <v>0</v>
      </c>
      <c r="D10" s="7">
        <f t="shared" si="19"/>
        <v>0</v>
      </c>
      <c r="E10" s="7">
        <f t="shared" si="19"/>
        <v>0</v>
      </c>
      <c r="F10" s="7">
        <f t="shared" si="19"/>
        <v>0</v>
      </c>
      <c r="G10" s="7">
        <f t="shared" si="19"/>
        <v>0</v>
      </c>
      <c r="H10" s="7">
        <f t="shared" si="19"/>
        <v>0</v>
      </c>
      <c r="I10" s="7">
        <f t="shared" si="19"/>
        <v>0</v>
      </c>
      <c r="J10" s="7">
        <f t="shared" si="19"/>
        <v>0</v>
      </c>
      <c r="K10" s="7">
        <f t="shared" si="19"/>
        <v>0</v>
      </c>
      <c r="L10" s="7">
        <f t="shared" si="19"/>
        <v>0</v>
      </c>
      <c r="M10" s="7">
        <f t="shared" si="19"/>
        <v>0</v>
      </c>
      <c r="N10" s="7">
        <f t="shared" si="19"/>
        <v>0</v>
      </c>
      <c r="O10" s="7">
        <f t="shared" si="19"/>
        <v>59700</v>
      </c>
      <c r="P10" s="7">
        <f t="shared" si="19"/>
        <v>63404</v>
      </c>
      <c r="Q10" s="7">
        <f t="shared" si="19"/>
        <v>0</v>
      </c>
      <c r="R10" s="7">
        <f t="shared" si="19"/>
        <v>0</v>
      </c>
      <c r="S10" s="7">
        <f t="shared" si="19"/>
        <v>75452</v>
      </c>
      <c r="T10" s="7">
        <f t="shared" si="19"/>
        <v>88912</v>
      </c>
      <c r="U10" s="7">
        <f t="shared" si="19"/>
        <v>96145</v>
      </c>
      <c r="V10" s="7">
        <f t="shared" si="19"/>
        <v>125555</v>
      </c>
      <c r="W10" s="7">
        <f t="shared" si="19"/>
        <v>108518</v>
      </c>
      <c r="X10" s="7">
        <f t="shared" si="19"/>
        <v>113080</v>
      </c>
      <c r="Y10" s="7">
        <f t="shared" si="19"/>
        <v>110812</v>
      </c>
      <c r="Z10" s="7">
        <f>+SUM(Z2:Z8)</f>
        <v>121412</v>
      </c>
      <c r="AA10" s="7">
        <f>+SUM(AA2:AA8)</f>
        <v>116444</v>
      </c>
      <c r="AB10" s="7">
        <f t="shared" ref="AB10" si="20">+SUM(AB2:AB8)</f>
        <v>121318</v>
      </c>
      <c r="AC10" s="7">
        <f t="shared" ref="AC10" si="21">+SUM(AC2:AC8)</f>
        <v>127101</v>
      </c>
      <c r="AD10" s="7">
        <f t="shared" ref="AD10" si="22">+SUM(AD2:AD8)</f>
        <v>138804</v>
      </c>
      <c r="AE10" s="7">
        <f t="shared" ref="AE10" si="23">+SUM(AE2:AE8)</f>
        <v>127358</v>
      </c>
      <c r="AF10" s="7">
        <f t="shared" ref="AF10:AL10" si="24">+SUM(AF2:AF8)</f>
        <v>134383</v>
      </c>
      <c r="AG10" s="7">
        <f t="shared" si="24"/>
        <v>143083</v>
      </c>
      <c r="AH10" s="7">
        <f t="shared" si="24"/>
        <v>169961</v>
      </c>
      <c r="AI10" s="7">
        <f t="shared" si="24"/>
        <v>143313</v>
      </c>
      <c r="AJ10" s="7">
        <f t="shared" si="24"/>
        <v>147977</v>
      </c>
      <c r="AK10" s="7">
        <f t="shared" si="24"/>
        <v>158877</v>
      </c>
      <c r="AL10" s="7">
        <f t="shared" si="24"/>
        <v>187792</v>
      </c>
      <c r="AT10" s="19">
        <v>14835</v>
      </c>
      <c r="AU10" s="19">
        <v>19166</v>
      </c>
      <c r="AV10" s="19">
        <v>24509</v>
      </c>
      <c r="AW10" s="19">
        <v>34204</v>
      </c>
      <c r="AX10" s="19">
        <v>48077</v>
      </c>
      <c r="AY10" s="19">
        <v>61093</v>
      </c>
      <c r="AZ10" s="19">
        <v>74452</v>
      </c>
      <c r="BA10" s="19">
        <v>88988</v>
      </c>
      <c r="BB10" s="19">
        <v>107006</v>
      </c>
      <c r="BC10" s="19">
        <v>135987</v>
      </c>
      <c r="BD10" s="7">
        <f t="shared" ref="BD10" si="25">+SUM(BD2:BD8)</f>
        <v>177866</v>
      </c>
      <c r="BE10" s="7">
        <f>+SUM(BE2:BE8)</f>
        <v>232887</v>
      </c>
      <c r="BF10" s="7">
        <f t="shared" ref="BF10" si="26">+SUM(BF2:BF8)</f>
        <v>280522</v>
      </c>
      <c r="BG10" s="7">
        <f t="shared" ref="BG10:BH10" si="27">+SUM(BG2:BG8)</f>
        <v>386064</v>
      </c>
      <c r="BH10" s="7">
        <f t="shared" si="27"/>
        <v>469822</v>
      </c>
      <c r="BI10" s="7">
        <f t="shared" ref="BI10" si="28">+SUM(BI2:BI8)</f>
        <v>513983</v>
      </c>
      <c r="BJ10" s="7">
        <f t="shared" ref="BJ10:BQ10" si="29">+SUM(BJ2:BJ8)</f>
        <v>574785</v>
      </c>
      <c r="BK10" s="7">
        <f t="shared" si="29"/>
        <v>637959</v>
      </c>
      <c r="BL10" s="7">
        <f t="shared" si="29"/>
        <v>707534.56</v>
      </c>
      <c r="BM10" s="7">
        <f t="shared" si="29"/>
        <v>790509.72749999992</v>
      </c>
      <c r="BN10" s="7">
        <f t="shared" si="29"/>
        <v>881483.04570450005</v>
      </c>
      <c r="BO10" s="7">
        <f t="shared" si="29"/>
        <v>983265.1735624501</v>
      </c>
      <c r="BP10" s="7">
        <f t="shared" si="29"/>
        <v>1099025.3826709026</v>
      </c>
      <c r="BQ10" s="7">
        <f t="shared" si="29"/>
        <v>1192817.9557396807</v>
      </c>
      <c r="BR10" s="7">
        <f t="shared" ref="BR10:BS10" si="30">+SUM(BR2:BR8)</f>
        <v>1297282.4641626207</v>
      </c>
      <c r="BS10" s="7">
        <f t="shared" si="30"/>
        <v>1413970.370638944</v>
      </c>
    </row>
    <row r="11" spans="1:74">
      <c r="B11" s="1" t="s">
        <v>23</v>
      </c>
      <c r="O11" s="1">
        <v>33920</v>
      </c>
      <c r="P11" s="1">
        <v>36337</v>
      </c>
      <c r="S11" s="1">
        <v>44257</v>
      </c>
      <c r="T11" s="1">
        <v>52660</v>
      </c>
      <c r="U11" s="1">
        <v>57106</v>
      </c>
      <c r="V11" s="1">
        <v>79284</v>
      </c>
      <c r="Y11" s="3">
        <v>62930</v>
      </c>
      <c r="Z11" s="1">
        <v>82835</v>
      </c>
      <c r="AA11" s="1">
        <v>66499</v>
      </c>
      <c r="AB11" s="3">
        <v>66424</v>
      </c>
      <c r="AC11" s="3">
        <v>70268</v>
      </c>
      <c r="AD11" s="1">
        <v>85640</v>
      </c>
      <c r="AE11" s="3">
        <v>67791</v>
      </c>
      <c r="AF11" s="3">
        <v>69373</v>
      </c>
      <c r="AG11" s="3">
        <v>75022</v>
      </c>
      <c r="AH11" s="3">
        <v>92553</v>
      </c>
      <c r="AI11" s="3">
        <v>72633</v>
      </c>
      <c r="AJ11" s="3">
        <v>73785</v>
      </c>
      <c r="AK11" s="3">
        <v>80977</v>
      </c>
      <c r="AL11" s="3">
        <v>92553</v>
      </c>
      <c r="BC11" s="3"/>
      <c r="BD11" s="3">
        <v>111934</v>
      </c>
      <c r="BE11" s="3">
        <v>139156</v>
      </c>
      <c r="BF11" s="3">
        <v>165536</v>
      </c>
      <c r="BG11" s="3">
        <v>233307</v>
      </c>
      <c r="BH11" s="3">
        <v>272344</v>
      </c>
      <c r="BI11" s="3">
        <v>288831</v>
      </c>
      <c r="BJ11" s="3">
        <v>304739</v>
      </c>
      <c r="BK11" s="3">
        <v>326288</v>
      </c>
      <c r="BL11" s="3">
        <f>+BL10*0.52</f>
        <v>367917.97120000003</v>
      </c>
      <c r="BM11" s="3">
        <f>+BM10*0.515</f>
        <v>407112.50966249994</v>
      </c>
      <c r="BN11" s="3">
        <f>+BN10*0.51</f>
        <v>449556.35330929502</v>
      </c>
      <c r="BO11" s="3">
        <f>+BO10*0.505</f>
        <v>496548.91264903732</v>
      </c>
      <c r="BP11" s="3">
        <f t="shared" ref="BP11:BQ11" si="31">+BP10*0.5</f>
        <v>549512.69133545132</v>
      </c>
      <c r="BQ11" s="3">
        <f t="shared" si="31"/>
        <v>596408.97786984034</v>
      </c>
      <c r="BR11" s="3">
        <f t="shared" ref="BR11:BS11" si="32">+BR10*0.5</f>
        <v>648641.23208131036</v>
      </c>
      <c r="BS11" s="3">
        <f t="shared" si="32"/>
        <v>706985.18531947199</v>
      </c>
    </row>
    <row r="12" spans="1:74">
      <c r="B12" s="1" t="s">
        <v>24</v>
      </c>
      <c r="O12" s="1">
        <v>8601</v>
      </c>
      <c r="P12" s="1">
        <v>9271</v>
      </c>
      <c r="S12" s="1">
        <v>11531</v>
      </c>
      <c r="T12" s="1">
        <v>13806</v>
      </c>
      <c r="U12" s="1">
        <v>14705</v>
      </c>
      <c r="V12" s="1">
        <v>18474</v>
      </c>
      <c r="Y12" s="3">
        <v>18498</v>
      </c>
      <c r="Z12" s="1">
        <v>22445</v>
      </c>
      <c r="AA12" s="1">
        <v>20271</v>
      </c>
      <c r="AB12" s="3">
        <v>20342</v>
      </c>
      <c r="AC12" s="3">
        <v>20583</v>
      </c>
      <c r="AD12" s="1">
        <v>23103</v>
      </c>
      <c r="AE12" s="3">
        <v>20905</v>
      </c>
      <c r="AF12" s="3">
        <v>21305</v>
      </c>
      <c r="AG12" s="3">
        <v>22314</v>
      </c>
      <c r="AH12" s="3">
        <v>26095</v>
      </c>
      <c r="AI12" s="3">
        <v>22317</v>
      </c>
      <c r="AJ12" s="3">
        <v>23566</v>
      </c>
      <c r="AK12" s="3">
        <v>24660</v>
      </c>
      <c r="AL12" s="3">
        <v>26095</v>
      </c>
      <c r="BC12" s="3"/>
      <c r="BD12" s="3">
        <v>25249</v>
      </c>
      <c r="BE12" s="3">
        <v>34027</v>
      </c>
      <c r="BF12" s="3">
        <v>40232</v>
      </c>
      <c r="BG12" s="3">
        <v>58517</v>
      </c>
      <c r="BH12" s="3">
        <v>75111</v>
      </c>
      <c r="BI12" s="3">
        <v>84299</v>
      </c>
      <c r="BJ12" s="3">
        <v>90619</v>
      </c>
      <c r="BK12" s="3">
        <v>98505</v>
      </c>
      <c r="BL12" s="3">
        <f>+BL10*0.155</f>
        <v>109667.85680000001</v>
      </c>
      <c r="BM12" s="3">
        <f>+BM10*0.153</f>
        <v>120947.98830749998</v>
      </c>
      <c r="BN12" s="3">
        <f>+BN10*0.15</f>
        <v>132222.456855675</v>
      </c>
      <c r="BO12" s="3">
        <f>+BO10*0.145</f>
        <v>142573.45016655527</v>
      </c>
      <c r="BP12" s="3">
        <f t="shared" ref="BP12:BQ12" si="33">+BP10*0.145</f>
        <v>159358.68048728089</v>
      </c>
      <c r="BQ12" s="3">
        <f t="shared" si="33"/>
        <v>172958.60358225368</v>
      </c>
      <c r="BR12" s="3">
        <f t="shared" ref="BR12:BS12" si="34">+BR10*0.145</f>
        <v>188105.95730357998</v>
      </c>
      <c r="BS12" s="3">
        <f t="shared" si="34"/>
        <v>205025.70374264687</v>
      </c>
    </row>
    <row r="13" spans="1:74">
      <c r="B13" s="2" t="s">
        <v>87</v>
      </c>
      <c r="C13" s="7">
        <f t="shared" ref="C13:AL13" si="35">+C10-C11-C12</f>
        <v>0</v>
      </c>
      <c r="D13" s="7">
        <f t="shared" si="35"/>
        <v>0</v>
      </c>
      <c r="E13" s="7">
        <f t="shared" si="35"/>
        <v>0</v>
      </c>
      <c r="F13" s="7">
        <f t="shared" si="35"/>
        <v>0</v>
      </c>
      <c r="G13" s="7">
        <f t="shared" si="35"/>
        <v>0</v>
      </c>
      <c r="H13" s="7">
        <f t="shared" si="35"/>
        <v>0</v>
      </c>
      <c r="I13" s="7">
        <f t="shared" si="35"/>
        <v>0</v>
      </c>
      <c r="J13" s="7">
        <f t="shared" si="35"/>
        <v>0</v>
      </c>
      <c r="K13" s="7">
        <f t="shared" si="35"/>
        <v>0</v>
      </c>
      <c r="L13" s="7">
        <f t="shared" si="35"/>
        <v>0</v>
      </c>
      <c r="M13" s="7">
        <f t="shared" si="35"/>
        <v>0</v>
      </c>
      <c r="N13" s="7">
        <f t="shared" si="35"/>
        <v>0</v>
      </c>
      <c r="O13" s="7">
        <f t="shared" si="35"/>
        <v>17179</v>
      </c>
      <c r="P13" s="7">
        <f t="shared" si="35"/>
        <v>17796</v>
      </c>
      <c r="Q13" s="7">
        <f t="shared" si="35"/>
        <v>0</v>
      </c>
      <c r="R13" s="7">
        <f t="shared" si="35"/>
        <v>0</v>
      </c>
      <c r="S13" s="7">
        <f t="shared" si="35"/>
        <v>19664</v>
      </c>
      <c r="T13" s="7">
        <f t="shared" si="35"/>
        <v>22446</v>
      </c>
      <c r="U13" s="7">
        <f t="shared" si="35"/>
        <v>24334</v>
      </c>
      <c r="V13" s="7">
        <f t="shared" si="35"/>
        <v>27797</v>
      </c>
      <c r="W13" s="7">
        <f t="shared" si="35"/>
        <v>108518</v>
      </c>
      <c r="X13" s="7">
        <f t="shared" si="35"/>
        <v>113080</v>
      </c>
      <c r="Y13" s="7">
        <f t="shared" si="35"/>
        <v>29384</v>
      </c>
      <c r="Z13" s="7">
        <f t="shared" si="35"/>
        <v>16132</v>
      </c>
      <c r="AA13" s="7">
        <f t="shared" si="35"/>
        <v>29674</v>
      </c>
      <c r="AB13" s="7">
        <f t="shared" si="35"/>
        <v>34552</v>
      </c>
      <c r="AC13" s="7">
        <f t="shared" si="35"/>
        <v>36250</v>
      </c>
      <c r="AD13" s="7">
        <f t="shared" si="35"/>
        <v>30061</v>
      </c>
      <c r="AE13" s="7">
        <f t="shared" si="35"/>
        <v>38662</v>
      </c>
      <c r="AF13" s="7">
        <f t="shared" si="35"/>
        <v>43705</v>
      </c>
      <c r="AG13" s="7">
        <f t="shared" si="35"/>
        <v>45747</v>
      </c>
      <c r="AH13" s="7">
        <f t="shared" si="35"/>
        <v>51313</v>
      </c>
      <c r="AI13" s="7">
        <f t="shared" si="35"/>
        <v>48363</v>
      </c>
      <c r="AJ13" s="7">
        <f t="shared" si="35"/>
        <v>50626</v>
      </c>
      <c r="AK13" s="7">
        <f t="shared" si="35"/>
        <v>53240</v>
      </c>
      <c r="AL13" s="7">
        <f t="shared" si="35"/>
        <v>69144</v>
      </c>
      <c r="BC13" s="7">
        <f t="shared" ref="BC13:BQ13" si="36">+BC10-BC11-BC12</f>
        <v>135987</v>
      </c>
      <c r="BD13" s="7">
        <f t="shared" si="36"/>
        <v>40683</v>
      </c>
      <c r="BE13" s="7">
        <f t="shared" si="36"/>
        <v>59704</v>
      </c>
      <c r="BF13" s="7">
        <f t="shared" si="36"/>
        <v>74754</v>
      </c>
      <c r="BG13" s="7">
        <f t="shared" si="36"/>
        <v>94240</v>
      </c>
      <c r="BH13" s="7">
        <f t="shared" si="36"/>
        <v>122367</v>
      </c>
      <c r="BI13" s="7">
        <f t="shared" si="36"/>
        <v>140853</v>
      </c>
      <c r="BJ13" s="7">
        <f t="shared" si="36"/>
        <v>179427</v>
      </c>
      <c r="BK13" s="7">
        <f t="shared" si="36"/>
        <v>213166</v>
      </c>
      <c r="BL13" s="7">
        <f t="shared" si="36"/>
        <v>229948.73200000002</v>
      </c>
      <c r="BM13" s="7">
        <f t="shared" si="36"/>
        <v>262449.22953000001</v>
      </c>
      <c r="BN13" s="7">
        <f t="shared" si="36"/>
        <v>299704.23553953005</v>
      </c>
      <c r="BO13" s="7">
        <f t="shared" si="36"/>
        <v>344142.81074685755</v>
      </c>
      <c r="BP13" s="7">
        <f t="shared" si="36"/>
        <v>390154.01084817044</v>
      </c>
      <c r="BQ13" s="7">
        <f t="shared" si="36"/>
        <v>423450.37428758666</v>
      </c>
      <c r="BR13" s="7">
        <f t="shared" ref="BR13:BS13" si="37">+BR10-BR11-BR12</f>
        <v>460535.27477773034</v>
      </c>
      <c r="BS13" s="7">
        <f t="shared" si="37"/>
        <v>501959.48157682514</v>
      </c>
    </row>
    <row r="14" spans="1:74">
      <c r="B14" s="1" t="s">
        <v>25</v>
      </c>
      <c r="O14" s="1">
        <v>7927</v>
      </c>
      <c r="P14" s="1">
        <v>9065</v>
      </c>
      <c r="S14" s="1">
        <v>9325</v>
      </c>
      <c r="T14" s="1">
        <v>10388</v>
      </c>
      <c r="U14" s="1">
        <v>10976</v>
      </c>
      <c r="V14" s="1">
        <v>12049</v>
      </c>
      <c r="Y14" s="3">
        <v>14380</v>
      </c>
      <c r="Z14" s="1">
        <v>15313</v>
      </c>
      <c r="AA14" s="1">
        <v>14842</v>
      </c>
      <c r="AB14" s="3">
        <v>18072</v>
      </c>
      <c r="AC14" s="3">
        <v>19485</v>
      </c>
      <c r="AD14" s="1">
        <v>20814</v>
      </c>
      <c r="AE14" s="3">
        <v>20450</v>
      </c>
      <c r="AF14" s="3">
        <v>21931</v>
      </c>
      <c r="AG14" s="3">
        <v>21203</v>
      </c>
      <c r="AH14" s="3">
        <v>22038</v>
      </c>
      <c r="AI14" s="3">
        <v>20424</v>
      </c>
      <c r="AJ14" s="3">
        <v>22304</v>
      </c>
      <c r="AK14" s="3">
        <v>22245</v>
      </c>
      <c r="AL14" s="3">
        <v>22038</v>
      </c>
      <c r="BC14" s="3"/>
      <c r="BD14" s="3">
        <v>22620</v>
      </c>
      <c r="BE14" s="3">
        <v>28837</v>
      </c>
      <c r="BF14" s="3">
        <v>35931</v>
      </c>
      <c r="BG14" s="3">
        <v>42740</v>
      </c>
      <c r="BH14" s="3">
        <v>56052</v>
      </c>
      <c r="BI14" s="3">
        <v>73213</v>
      </c>
      <c r="BJ14" s="3">
        <v>85622</v>
      </c>
      <c r="BK14" s="3">
        <v>88544</v>
      </c>
      <c r="BL14" s="3">
        <f t="shared" ref="BL14:BQ14" si="38">+BL10*0.148</f>
        <v>104715.11488000001</v>
      </c>
      <c r="BM14" s="3">
        <f t="shared" si="38"/>
        <v>116995.43966999998</v>
      </c>
      <c r="BN14" s="3">
        <f t="shared" si="38"/>
        <v>130459.490764266</v>
      </c>
      <c r="BO14" s="3">
        <f t="shared" si="38"/>
        <v>145523.2456872426</v>
      </c>
      <c r="BP14" s="3">
        <f t="shared" si="38"/>
        <v>162655.7566352936</v>
      </c>
      <c r="BQ14" s="3">
        <f t="shared" si="38"/>
        <v>176537.05744947272</v>
      </c>
      <c r="BR14" s="3">
        <f t="shared" ref="BR14:BS14" si="39">+BR10*0.148</f>
        <v>191997.80469606785</v>
      </c>
      <c r="BS14" s="3">
        <f t="shared" si="39"/>
        <v>209267.6148545637</v>
      </c>
    </row>
    <row r="15" spans="1:74">
      <c r="B15" s="1" t="s">
        <v>26</v>
      </c>
      <c r="O15" s="1">
        <v>3664</v>
      </c>
      <c r="P15" s="1">
        <v>4291</v>
      </c>
      <c r="S15" s="1">
        <v>4828</v>
      </c>
      <c r="T15" s="1">
        <v>4345</v>
      </c>
      <c r="U15" s="1">
        <v>5434</v>
      </c>
      <c r="V15" s="1">
        <v>7403</v>
      </c>
      <c r="Y15" s="3">
        <v>8010</v>
      </c>
      <c r="Z15" s="1">
        <v>10810</v>
      </c>
      <c r="AA15" s="1">
        <v>8320</v>
      </c>
      <c r="AB15" s="3">
        <v>10086</v>
      </c>
      <c r="AC15" s="3">
        <v>11014</v>
      </c>
      <c r="AD15" s="1">
        <v>12818</v>
      </c>
      <c r="AE15" s="3">
        <v>10172</v>
      </c>
      <c r="AF15" s="3">
        <v>10745</v>
      </c>
      <c r="AG15" s="3">
        <v>10551</v>
      </c>
      <c r="AH15" s="3">
        <v>12902</v>
      </c>
      <c r="AI15" s="3">
        <v>9662</v>
      </c>
      <c r="AJ15" s="3">
        <v>10512</v>
      </c>
      <c r="AK15" s="3">
        <v>10609</v>
      </c>
      <c r="AL15" s="3">
        <v>12902</v>
      </c>
      <c r="BC15" s="3"/>
      <c r="BD15" s="3">
        <v>10069</v>
      </c>
      <c r="BE15" s="3">
        <v>13814</v>
      </c>
      <c r="BF15" s="3">
        <v>18878</v>
      </c>
      <c r="BG15" s="3">
        <v>22008</v>
      </c>
      <c r="BH15" s="3">
        <v>32551</v>
      </c>
      <c r="BI15" s="3">
        <v>42238</v>
      </c>
      <c r="BJ15" s="3">
        <v>44370</v>
      </c>
      <c r="BK15" s="3">
        <v>43907</v>
      </c>
      <c r="BL15" s="3">
        <f t="shared" ref="BL15:BQ15" si="40">+BK15*1.04</f>
        <v>45663.28</v>
      </c>
      <c r="BM15" s="3">
        <f t="shared" si="40"/>
        <v>47489.811200000004</v>
      </c>
      <c r="BN15" s="3">
        <f t="shared" si="40"/>
        <v>49389.403648000007</v>
      </c>
      <c r="BO15" s="3">
        <f t="shared" si="40"/>
        <v>51364.979793920007</v>
      </c>
      <c r="BP15" s="3">
        <f t="shared" si="40"/>
        <v>53419.57898567681</v>
      </c>
      <c r="BQ15" s="3">
        <f t="shared" si="40"/>
        <v>55556.362145103885</v>
      </c>
      <c r="BR15" s="3">
        <f t="shared" ref="BR15" si="41">+BQ15*1.04</f>
        <v>57778.616630908044</v>
      </c>
      <c r="BS15" s="3">
        <f t="shared" ref="BS15" si="42">+BR15*1.04</f>
        <v>60089.761296144366</v>
      </c>
    </row>
    <row r="16" spans="1:74">
      <c r="B16" s="1" t="s">
        <v>27</v>
      </c>
      <c r="O16" s="1">
        <v>1173</v>
      </c>
      <c r="P16" s="1">
        <v>1270</v>
      </c>
      <c r="S16" s="1">
        <v>1452</v>
      </c>
      <c r="T16" s="1">
        <v>1580</v>
      </c>
      <c r="U16" s="1">
        <v>1668</v>
      </c>
      <c r="V16" s="1">
        <v>1968</v>
      </c>
      <c r="Y16" s="3">
        <v>2153</v>
      </c>
      <c r="Z16" s="1">
        <v>2525</v>
      </c>
      <c r="AA16" s="1">
        <v>2594</v>
      </c>
      <c r="AB16" s="3">
        <v>2903</v>
      </c>
      <c r="AC16" s="3">
        <v>3061</v>
      </c>
      <c r="AD16" s="1">
        <v>3333</v>
      </c>
      <c r="AE16" s="3">
        <v>3043</v>
      </c>
      <c r="AF16" s="3">
        <v>3202</v>
      </c>
      <c r="AG16" s="3">
        <v>2561</v>
      </c>
      <c r="AH16" s="3">
        <v>3010</v>
      </c>
      <c r="AI16" s="3">
        <v>2742</v>
      </c>
      <c r="AJ16" s="3">
        <v>3041</v>
      </c>
      <c r="AK16" s="3">
        <v>2713</v>
      </c>
      <c r="AL16" s="3">
        <v>3010</v>
      </c>
      <c r="BC16" s="3"/>
      <c r="BD16" s="3">
        <v>3674</v>
      </c>
      <c r="BE16" s="3">
        <v>4336</v>
      </c>
      <c r="BF16" s="3">
        <v>5203</v>
      </c>
      <c r="BG16" s="3">
        <v>6668</v>
      </c>
      <c r="BH16" s="3">
        <v>8823</v>
      </c>
      <c r="BI16" s="3">
        <v>11891</v>
      </c>
      <c r="BJ16" s="3">
        <v>11816</v>
      </c>
      <c r="BK16" s="3">
        <v>11359</v>
      </c>
      <c r="BL16" s="3">
        <f t="shared" ref="BL16:BQ16" si="43">+BK16*1.03</f>
        <v>11699.77</v>
      </c>
      <c r="BM16" s="3">
        <f t="shared" si="43"/>
        <v>12050.7631</v>
      </c>
      <c r="BN16" s="3">
        <f t="shared" si="43"/>
        <v>12412.285993000001</v>
      </c>
      <c r="BO16" s="3">
        <f t="shared" si="43"/>
        <v>12784.654572790001</v>
      </c>
      <c r="BP16" s="3">
        <f t="shared" si="43"/>
        <v>13168.194209973701</v>
      </c>
      <c r="BQ16" s="3">
        <f t="shared" si="43"/>
        <v>13563.240036272911</v>
      </c>
      <c r="BR16" s="3">
        <f t="shared" ref="BR16" si="44">+BQ16*1.03</f>
        <v>13970.137237361099</v>
      </c>
      <c r="BS16" s="3">
        <f t="shared" ref="BS16" si="45">+BR16*1.03</f>
        <v>14389.241354481932</v>
      </c>
    </row>
    <row r="17" spans="2:124">
      <c r="B17" s="1" t="s">
        <v>28</v>
      </c>
      <c r="O17" s="1">
        <v>-5</v>
      </c>
      <c r="P17" s="1">
        <v>86</v>
      </c>
      <c r="S17" s="1">
        <v>70</v>
      </c>
      <c r="T17" s="1">
        <v>290</v>
      </c>
      <c r="U17" s="1">
        <v>62</v>
      </c>
      <c r="V17" s="1">
        <v>-496</v>
      </c>
      <c r="Y17" s="3">
        <v>-11</v>
      </c>
      <c r="Z17" s="1">
        <v>24</v>
      </c>
      <c r="AA17" s="1">
        <v>249</v>
      </c>
      <c r="AB17" s="3">
        <v>90</v>
      </c>
      <c r="AC17" s="3">
        <v>165</v>
      </c>
      <c r="AD17" s="1">
        <v>759</v>
      </c>
      <c r="AE17" s="3">
        <v>223</v>
      </c>
      <c r="AF17" s="3">
        <v>146</v>
      </c>
      <c r="AG17" s="3">
        <v>244</v>
      </c>
      <c r="AH17" s="3">
        <v>154</v>
      </c>
      <c r="AI17" s="3">
        <v>228</v>
      </c>
      <c r="AJ17" s="3">
        <v>97</v>
      </c>
      <c r="AK17" s="3">
        <v>262</v>
      </c>
      <c r="AL17" s="3">
        <v>154</v>
      </c>
      <c r="BC17" s="3"/>
      <c r="BD17" s="3">
        <v>214</v>
      </c>
      <c r="BE17" s="3">
        <v>296</v>
      </c>
      <c r="BF17" s="3">
        <v>201</v>
      </c>
      <c r="BG17" s="3">
        <v>-75</v>
      </c>
      <c r="BH17" s="3">
        <v>62</v>
      </c>
      <c r="BI17" s="3">
        <v>1263</v>
      </c>
      <c r="BJ17" s="3">
        <v>767</v>
      </c>
      <c r="BK17" s="3">
        <v>763</v>
      </c>
      <c r="BL17" s="3"/>
      <c r="BM17" s="3"/>
      <c r="BN17" s="3"/>
      <c r="BO17" s="3"/>
      <c r="BP17" s="3"/>
      <c r="BQ17" s="3"/>
      <c r="BR17" s="3"/>
      <c r="BS17" s="3"/>
    </row>
    <row r="18" spans="2:124">
      <c r="B18" s="1" t="s">
        <v>29</v>
      </c>
      <c r="C18" s="3">
        <f t="shared" ref="C18:T18" si="46">+SUM(C14:C17)</f>
        <v>0</v>
      </c>
      <c r="D18" s="3">
        <f t="shared" si="46"/>
        <v>0</v>
      </c>
      <c r="E18" s="3">
        <f t="shared" si="46"/>
        <v>0</v>
      </c>
      <c r="F18" s="3">
        <f t="shared" si="46"/>
        <v>0</v>
      </c>
      <c r="G18" s="3">
        <f t="shared" si="46"/>
        <v>0</v>
      </c>
      <c r="H18" s="3">
        <f t="shared" si="46"/>
        <v>0</v>
      </c>
      <c r="I18" s="3">
        <f t="shared" si="46"/>
        <v>0</v>
      </c>
      <c r="J18" s="3">
        <f t="shared" si="46"/>
        <v>0</v>
      </c>
      <c r="K18" s="3">
        <f t="shared" si="46"/>
        <v>0</v>
      </c>
      <c r="L18" s="3">
        <f t="shared" si="46"/>
        <v>0</v>
      </c>
      <c r="M18" s="3">
        <f t="shared" si="46"/>
        <v>0</v>
      </c>
      <c r="N18" s="3">
        <f t="shared" si="46"/>
        <v>0</v>
      </c>
      <c r="O18" s="3">
        <f t="shared" si="46"/>
        <v>12759</v>
      </c>
      <c r="P18" s="3">
        <f t="shared" si="46"/>
        <v>14712</v>
      </c>
      <c r="Q18" s="3">
        <f t="shared" si="46"/>
        <v>0</v>
      </c>
      <c r="R18" s="3">
        <f t="shared" si="46"/>
        <v>0</v>
      </c>
      <c r="S18" s="3">
        <f t="shared" si="46"/>
        <v>15675</v>
      </c>
      <c r="T18" s="3">
        <f t="shared" si="46"/>
        <v>16603</v>
      </c>
      <c r="U18" s="3">
        <f>+SUM(U14:U17)</f>
        <v>18140</v>
      </c>
      <c r="V18" s="3">
        <f t="shared" ref="V18:AH18" si="47">+SUM(V14:V17)</f>
        <v>20924</v>
      </c>
      <c r="W18" s="3">
        <f t="shared" si="47"/>
        <v>0</v>
      </c>
      <c r="X18" s="3">
        <f t="shared" si="47"/>
        <v>0</v>
      </c>
      <c r="Y18" s="3">
        <f t="shared" si="47"/>
        <v>24532</v>
      </c>
      <c r="Z18" s="3">
        <f t="shared" si="47"/>
        <v>28672</v>
      </c>
      <c r="AA18" s="3">
        <f t="shared" si="47"/>
        <v>26005</v>
      </c>
      <c r="AB18" s="3">
        <f t="shared" si="47"/>
        <v>31151</v>
      </c>
      <c r="AC18" s="3">
        <f t="shared" si="47"/>
        <v>33725</v>
      </c>
      <c r="AD18" s="3">
        <f t="shared" si="47"/>
        <v>37724</v>
      </c>
      <c r="AE18" s="3">
        <f t="shared" si="47"/>
        <v>33888</v>
      </c>
      <c r="AF18" s="3">
        <f t="shared" si="47"/>
        <v>36024</v>
      </c>
      <c r="AG18" s="3">
        <f t="shared" si="47"/>
        <v>34559</v>
      </c>
      <c r="AH18" s="3">
        <f t="shared" si="47"/>
        <v>38104</v>
      </c>
      <c r="AI18" s="3">
        <f>+SUM(AI14:AI17)</f>
        <v>33056</v>
      </c>
      <c r="AJ18" s="3">
        <f t="shared" ref="AJ18:AK18" si="48">+SUM(AJ14:AJ17)</f>
        <v>35954</v>
      </c>
      <c r="AK18" s="3">
        <f t="shared" si="48"/>
        <v>35829</v>
      </c>
      <c r="AL18" s="3">
        <f t="shared" ref="AL18" si="49">+SUM(AL14:AL17)</f>
        <v>38104</v>
      </c>
      <c r="BC18" s="3">
        <f t="shared" ref="BC18:BQ18" si="50">+SUM(BC14:BC17)</f>
        <v>0</v>
      </c>
      <c r="BD18" s="3">
        <f t="shared" si="50"/>
        <v>36577</v>
      </c>
      <c r="BE18" s="3">
        <f t="shared" si="50"/>
        <v>47283</v>
      </c>
      <c r="BF18" s="3">
        <f t="shared" si="50"/>
        <v>60213</v>
      </c>
      <c r="BG18" s="3">
        <f t="shared" si="50"/>
        <v>71341</v>
      </c>
      <c r="BH18" s="3">
        <f t="shared" si="50"/>
        <v>97488</v>
      </c>
      <c r="BI18" s="3">
        <f t="shared" si="50"/>
        <v>128605</v>
      </c>
      <c r="BJ18" s="3">
        <f t="shared" si="50"/>
        <v>142575</v>
      </c>
      <c r="BK18" s="3">
        <f t="shared" si="50"/>
        <v>144573</v>
      </c>
      <c r="BL18" s="3">
        <f t="shared" si="50"/>
        <v>162078.16488</v>
      </c>
      <c r="BM18" s="3">
        <f t="shared" si="50"/>
        <v>176536.01397</v>
      </c>
      <c r="BN18" s="3">
        <f t="shared" si="50"/>
        <v>192261.180405266</v>
      </c>
      <c r="BO18" s="3">
        <f t="shared" si="50"/>
        <v>209672.8800539526</v>
      </c>
      <c r="BP18" s="3">
        <f t="shared" si="50"/>
        <v>229243.52983094411</v>
      </c>
      <c r="BQ18" s="3">
        <f t="shared" si="50"/>
        <v>245656.65963084952</v>
      </c>
      <c r="BR18" s="3">
        <f t="shared" ref="BR18:BS18" si="51">+SUM(BR14:BR17)</f>
        <v>263746.55856433697</v>
      </c>
      <c r="BS18" s="3">
        <f t="shared" si="51"/>
        <v>283746.61750519002</v>
      </c>
    </row>
    <row r="19" spans="2:124">
      <c r="B19" s="2" t="s">
        <v>30</v>
      </c>
      <c r="C19" s="7">
        <f t="shared" ref="C19:AJ19" si="52">+C13-C18</f>
        <v>0</v>
      </c>
      <c r="D19" s="7">
        <f t="shared" si="52"/>
        <v>0</v>
      </c>
      <c r="E19" s="7">
        <f t="shared" si="52"/>
        <v>0</v>
      </c>
      <c r="F19" s="7">
        <f t="shared" si="52"/>
        <v>0</v>
      </c>
      <c r="G19" s="7">
        <f t="shared" si="52"/>
        <v>0</v>
      </c>
      <c r="H19" s="7">
        <f t="shared" si="52"/>
        <v>0</v>
      </c>
      <c r="I19" s="7">
        <f t="shared" si="52"/>
        <v>0</v>
      </c>
      <c r="J19" s="7">
        <f t="shared" si="52"/>
        <v>0</v>
      </c>
      <c r="K19" s="7">
        <f t="shared" si="52"/>
        <v>0</v>
      </c>
      <c r="L19" s="7">
        <f t="shared" si="52"/>
        <v>0</v>
      </c>
      <c r="M19" s="7">
        <f t="shared" si="52"/>
        <v>0</v>
      </c>
      <c r="N19" s="7">
        <f t="shared" si="52"/>
        <v>0</v>
      </c>
      <c r="O19" s="7">
        <f t="shared" si="52"/>
        <v>4420</v>
      </c>
      <c r="P19" s="7">
        <f t="shared" si="52"/>
        <v>3084</v>
      </c>
      <c r="Q19" s="7">
        <f t="shared" si="52"/>
        <v>0</v>
      </c>
      <c r="R19" s="7">
        <f t="shared" si="52"/>
        <v>0</v>
      </c>
      <c r="S19" s="7">
        <f t="shared" si="52"/>
        <v>3989</v>
      </c>
      <c r="T19" s="7">
        <f t="shared" si="52"/>
        <v>5843</v>
      </c>
      <c r="U19" s="7">
        <f t="shared" si="52"/>
        <v>6194</v>
      </c>
      <c r="V19" s="7">
        <f t="shared" si="52"/>
        <v>6873</v>
      </c>
      <c r="W19" s="7">
        <f t="shared" si="52"/>
        <v>108518</v>
      </c>
      <c r="X19" s="7">
        <f t="shared" si="52"/>
        <v>113080</v>
      </c>
      <c r="Y19" s="7">
        <f t="shared" si="52"/>
        <v>4852</v>
      </c>
      <c r="Z19" s="7">
        <f t="shared" si="52"/>
        <v>-12540</v>
      </c>
      <c r="AA19" s="7">
        <f t="shared" si="52"/>
        <v>3669</v>
      </c>
      <c r="AB19" s="7">
        <f t="shared" si="52"/>
        <v>3401</v>
      </c>
      <c r="AC19" s="7">
        <f t="shared" si="52"/>
        <v>2525</v>
      </c>
      <c r="AD19" s="7">
        <f t="shared" si="52"/>
        <v>-7663</v>
      </c>
      <c r="AE19" s="7">
        <f t="shared" si="52"/>
        <v>4774</v>
      </c>
      <c r="AF19" s="7">
        <f t="shared" si="52"/>
        <v>7681</v>
      </c>
      <c r="AG19" s="7">
        <f t="shared" si="52"/>
        <v>11188</v>
      </c>
      <c r="AH19" s="7">
        <f t="shared" si="52"/>
        <v>13209</v>
      </c>
      <c r="AI19" s="7">
        <f t="shared" si="52"/>
        <v>15307</v>
      </c>
      <c r="AJ19" s="7">
        <f t="shared" si="52"/>
        <v>14672</v>
      </c>
      <c r="AK19" s="7">
        <f t="shared" ref="AK19:AL19" si="53">+AK13-AK18</f>
        <v>17411</v>
      </c>
      <c r="AL19" s="7">
        <f t="shared" si="53"/>
        <v>31040</v>
      </c>
      <c r="AT19" s="19">
        <v>655</v>
      </c>
      <c r="AU19" s="19">
        <v>842</v>
      </c>
      <c r="AV19" s="19">
        <v>1129</v>
      </c>
      <c r="AW19" s="19">
        <v>1406</v>
      </c>
      <c r="AX19" s="19">
        <v>862</v>
      </c>
      <c r="AY19" s="19">
        <v>676</v>
      </c>
      <c r="AZ19" s="19">
        <v>745</v>
      </c>
      <c r="BA19" s="19">
        <v>178</v>
      </c>
      <c r="BB19" s="19">
        <v>2233</v>
      </c>
      <c r="BC19" s="19">
        <v>4186</v>
      </c>
      <c r="BD19" s="7">
        <f t="shared" ref="BD19:BQ19" si="54">+BD13-BD18</f>
        <v>4106</v>
      </c>
      <c r="BE19" s="7">
        <f t="shared" si="54"/>
        <v>12421</v>
      </c>
      <c r="BF19" s="7">
        <f t="shared" si="54"/>
        <v>14541</v>
      </c>
      <c r="BG19" s="7">
        <f t="shared" si="54"/>
        <v>22899</v>
      </c>
      <c r="BH19" s="7">
        <f t="shared" si="54"/>
        <v>24879</v>
      </c>
      <c r="BI19" s="7">
        <f t="shared" si="54"/>
        <v>12248</v>
      </c>
      <c r="BJ19" s="7">
        <f t="shared" si="54"/>
        <v>36852</v>
      </c>
      <c r="BK19" s="7">
        <f t="shared" si="54"/>
        <v>68593</v>
      </c>
      <c r="BL19" s="7">
        <f t="shared" si="54"/>
        <v>67870.567120000022</v>
      </c>
      <c r="BM19" s="7">
        <f t="shared" si="54"/>
        <v>85913.215560000011</v>
      </c>
      <c r="BN19" s="7">
        <f t="shared" si="54"/>
        <v>107443.05513426405</v>
      </c>
      <c r="BO19" s="7">
        <f t="shared" si="54"/>
        <v>134469.93069290495</v>
      </c>
      <c r="BP19" s="7">
        <f t="shared" si="54"/>
        <v>160910.48101722632</v>
      </c>
      <c r="BQ19" s="7">
        <f t="shared" si="54"/>
        <v>177793.71465673714</v>
      </c>
      <c r="BR19" s="7">
        <f t="shared" ref="BR19:BS19" si="55">+BR13-BR18</f>
        <v>196788.71621339337</v>
      </c>
      <c r="BS19" s="7">
        <f t="shared" si="55"/>
        <v>218212.86407163512</v>
      </c>
    </row>
    <row r="20" spans="2:124">
      <c r="B20" s="1" t="s">
        <v>31</v>
      </c>
      <c r="O20" s="1">
        <f>183-366</f>
        <v>-183</v>
      </c>
      <c r="P20" s="1">
        <f>215-383</f>
        <v>-168</v>
      </c>
      <c r="S20" s="1">
        <f>202-402</f>
        <v>-200</v>
      </c>
      <c r="T20" s="1">
        <f>135-403</f>
        <v>-268</v>
      </c>
      <c r="U20" s="1">
        <f>118-428</f>
        <v>-310</v>
      </c>
      <c r="V20" s="1">
        <f>100-414</f>
        <v>-314</v>
      </c>
      <c r="Y20" s="1">
        <f>119-493</f>
        <v>-374</v>
      </c>
      <c r="Z20" s="1">
        <f>118-482</f>
        <v>-364</v>
      </c>
      <c r="AA20" s="1">
        <f>108-472</f>
        <v>-364</v>
      </c>
      <c r="AB20" s="1">
        <f>159-584</f>
        <v>-425</v>
      </c>
      <c r="AC20" s="1">
        <f>277-617</f>
        <v>-340</v>
      </c>
      <c r="AD20" s="1">
        <f>445-694</f>
        <v>-249</v>
      </c>
      <c r="AE20" s="1">
        <f>611-823</f>
        <v>-212</v>
      </c>
      <c r="AF20" s="1">
        <f>661-840</f>
        <v>-179</v>
      </c>
      <c r="AG20" s="1">
        <f>776-806</f>
        <v>-30</v>
      </c>
      <c r="AH20" s="1">
        <f>901-713</f>
        <v>188</v>
      </c>
      <c r="AI20" s="3">
        <f>993-644</f>
        <v>349</v>
      </c>
      <c r="AJ20" s="1">
        <f>1180-589</f>
        <v>591</v>
      </c>
      <c r="AK20" s="1">
        <f>1256-603</f>
        <v>653</v>
      </c>
      <c r="AL20" s="3">
        <f>901-713</f>
        <v>188</v>
      </c>
      <c r="BC20" s="3"/>
      <c r="BD20" s="3">
        <f>202-848</f>
        <v>-646</v>
      </c>
      <c r="BE20" s="3">
        <f>440-1417</f>
        <v>-977</v>
      </c>
      <c r="BF20" s="3">
        <f>832-1600</f>
        <v>-768</v>
      </c>
      <c r="BG20" s="3">
        <f>555-1647</f>
        <v>-1092</v>
      </c>
      <c r="BH20" s="3">
        <f>448-1809</f>
        <v>-1361</v>
      </c>
      <c r="BI20" s="3">
        <f>989-2367</f>
        <v>-1378</v>
      </c>
      <c r="BJ20" s="3">
        <f>2949-3182</f>
        <v>-233</v>
      </c>
      <c r="BK20" s="3">
        <f>4677-2406</f>
        <v>2271</v>
      </c>
      <c r="BL20" s="3"/>
      <c r="BM20" s="3"/>
      <c r="BN20" s="3"/>
      <c r="BO20" s="3"/>
      <c r="BP20" s="3"/>
      <c r="BQ20" s="3"/>
      <c r="BR20" s="3"/>
      <c r="BS20" s="3"/>
    </row>
    <row r="21" spans="2:124">
      <c r="B21" s="1" t="s">
        <v>32</v>
      </c>
      <c r="O21" s="1">
        <v>164</v>
      </c>
      <c r="P21" s="1">
        <v>-27</v>
      </c>
      <c r="S21" s="1">
        <v>-406</v>
      </c>
      <c r="T21" s="1">
        <v>646</v>
      </c>
      <c r="U21" s="1">
        <v>925</v>
      </c>
      <c r="V21" s="1">
        <v>1206</v>
      </c>
      <c r="Y21" s="1">
        <v>-163</v>
      </c>
      <c r="Z21" s="1">
        <v>11838</v>
      </c>
      <c r="AA21" s="1">
        <v>-8570</v>
      </c>
      <c r="AB21" s="1">
        <v>-5545</v>
      </c>
      <c r="AC21" s="1">
        <v>759</v>
      </c>
      <c r="AD21" s="1">
        <v>-3450</v>
      </c>
      <c r="AE21" s="1">
        <v>-443</v>
      </c>
      <c r="AF21" s="1">
        <v>61</v>
      </c>
      <c r="AG21" s="1">
        <v>1031</v>
      </c>
      <c r="AH21" s="1">
        <v>289</v>
      </c>
      <c r="AI21" s="3">
        <v>-2673</v>
      </c>
      <c r="AJ21" s="1">
        <v>-18</v>
      </c>
      <c r="AK21" s="1">
        <v>-27</v>
      </c>
      <c r="AL21" s="3">
        <v>289</v>
      </c>
      <c r="BC21" s="3"/>
      <c r="BD21" s="3">
        <v>346</v>
      </c>
      <c r="BE21" s="3">
        <v>-183</v>
      </c>
      <c r="BF21" s="3">
        <v>203</v>
      </c>
      <c r="BG21" s="3">
        <v>2371</v>
      </c>
      <c r="BH21" s="3">
        <v>14633</v>
      </c>
      <c r="BI21" s="3">
        <v>-16806</v>
      </c>
      <c r="BJ21" s="3">
        <v>938</v>
      </c>
      <c r="BK21" s="3">
        <v>-2250</v>
      </c>
      <c r="BL21" s="3">
        <f t="shared" ref="BL21:BS21" si="56">+BK48*$BV$4</f>
        <v>7286.8499999999995</v>
      </c>
      <c r="BM21" s="3">
        <f t="shared" si="56"/>
        <v>16305.740054400003</v>
      </c>
      <c r="BN21" s="3">
        <f t="shared" si="56"/>
        <v>28572.014728128004</v>
      </c>
      <c r="BO21" s="3">
        <f t="shared" si="56"/>
        <v>44893.823111615049</v>
      </c>
      <c r="BP21" s="3">
        <f t="shared" si="56"/>
        <v>66417.473568157453</v>
      </c>
      <c r="BQ21" s="3">
        <f t="shared" si="56"/>
        <v>93696.8281184035</v>
      </c>
      <c r="BR21" s="3">
        <f t="shared" si="56"/>
        <v>126275.69325142037</v>
      </c>
      <c r="BS21" s="3">
        <f t="shared" si="56"/>
        <v>165043.42238719802</v>
      </c>
    </row>
    <row r="22" spans="2:124">
      <c r="B22" s="1" t="s">
        <v>33</v>
      </c>
      <c r="C22" s="3">
        <f t="shared" ref="C22:AL22" si="57">+C19+C20+C21</f>
        <v>0</v>
      </c>
      <c r="D22" s="3">
        <f t="shared" si="57"/>
        <v>0</v>
      </c>
      <c r="E22" s="3">
        <f t="shared" si="57"/>
        <v>0</v>
      </c>
      <c r="F22" s="3">
        <f t="shared" si="57"/>
        <v>0</v>
      </c>
      <c r="G22" s="3">
        <f t="shared" si="57"/>
        <v>0</v>
      </c>
      <c r="H22" s="3">
        <f t="shared" si="57"/>
        <v>0</v>
      </c>
      <c r="I22" s="3">
        <f t="shared" si="57"/>
        <v>0</v>
      </c>
      <c r="J22" s="3">
        <f t="shared" si="57"/>
        <v>0</v>
      </c>
      <c r="K22" s="3">
        <f t="shared" si="57"/>
        <v>0</v>
      </c>
      <c r="L22" s="3">
        <f t="shared" si="57"/>
        <v>0</v>
      </c>
      <c r="M22" s="3">
        <f t="shared" si="57"/>
        <v>0</v>
      </c>
      <c r="N22" s="3">
        <f t="shared" si="57"/>
        <v>0</v>
      </c>
      <c r="O22" s="3">
        <f t="shared" si="57"/>
        <v>4401</v>
      </c>
      <c r="P22" s="3">
        <f t="shared" si="57"/>
        <v>2889</v>
      </c>
      <c r="Q22" s="3">
        <f t="shared" si="57"/>
        <v>0</v>
      </c>
      <c r="R22" s="3">
        <f t="shared" si="57"/>
        <v>0</v>
      </c>
      <c r="S22" s="3">
        <f t="shared" si="57"/>
        <v>3383</v>
      </c>
      <c r="T22" s="3">
        <f t="shared" si="57"/>
        <v>6221</v>
      </c>
      <c r="U22" s="3">
        <f t="shared" si="57"/>
        <v>6809</v>
      </c>
      <c r="V22" s="3">
        <f t="shared" si="57"/>
        <v>7765</v>
      </c>
      <c r="W22" s="3">
        <f t="shared" si="57"/>
        <v>108518</v>
      </c>
      <c r="X22" s="3">
        <f t="shared" si="57"/>
        <v>113080</v>
      </c>
      <c r="Y22" s="3">
        <f t="shared" si="57"/>
        <v>4315</v>
      </c>
      <c r="Z22" s="3">
        <f t="shared" si="57"/>
        <v>-1066</v>
      </c>
      <c r="AA22" s="3">
        <f t="shared" si="57"/>
        <v>-5265</v>
      </c>
      <c r="AB22" s="3">
        <f t="shared" si="57"/>
        <v>-2569</v>
      </c>
      <c r="AC22" s="3">
        <f t="shared" si="57"/>
        <v>2944</v>
      </c>
      <c r="AD22" s="3">
        <f t="shared" si="57"/>
        <v>-11362</v>
      </c>
      <c r="AE22" s="3">
        <f t="shared" si="57"/>
        <v>4119</v>
      </c>
      <c r="AF22" s="3">
        <f t="shared" si="57"/>
        <v>7563</v>
      </c>
      <c r="AG22" s="3">
        <f t="shared" si="57"/>
        <v>12189</v>
      </c>
      <c r="AH22" s="3">
        <f t="shared" si="57"/>
        <v>13686</v>
      </c>
      <c r="AI22" s="3">
        <f t="shared" si="57"/>
        <v>12983</v>
      </c>
      <c r="AJ22" s="3">
        <f t="shared" si="57"/>
        <v>15245</v>
      </c>
      <c r="AK22" s="3">
        <f t="shared" si="57"/>
        <v>18037</v>
      </c>
      <c r="AL22" s="7">
        <f t="shared" si="57"/>
        <v>31517</v>
      </c>
      <c r="BC22" s="3">
        <f t="shared" ref="BC22:BQ22" si="58">+BC19+BC20+BC21</f>
        <v>4186</v>
      </c>
      <c r="BD22" s="3">
        <f t="shared" si="58"/>
        <v>3806</v>
      </c>
      <c r="BE22" s="3">
        <f t="shared" si="58"/>
        <v>11261</v>
      </c>
      <c r="BF22" s="3">
        <f t="shared" si="58"/>
        <v>13976</v>
      </c>
      <c r="BG22" s="3">
        <f t="shared" si="58"/>
        <v>24178</v>
      </c>
      <c r="BH22" s="3">
        <f t="shared" si="58"/>
        <v>38151</v>
      </c>
      <c r="BI22" s="3">
        <f t="shared" si="58"/>
        <v>-5936</v>
      </c>
      <c r="BJ22" s="3">
        <f t="shared" si="58"/>
        <v>37557</v>
      </c>
      <c r="BK22" s="3">
        <f t="shared" si="58"/>
        <v>68614</v>
      </c>
      <c r="BL22" s="3">
        <f t="shared" si="58"/>
        <v>75157.417120000027</v>
      </c>
      <c r="BM22" s="3">
        <f t="shared" si="58"/>
        <v>102218.95561440001</v>
      </c>
      <c r="BN22" s="3">
        <f t="shared" si="58"/>
        <v>136015.06986239206</v>
      </c>
      <c r="BO22" s="3">
        <f t="shared" si="58"/>
        <v>179363.75380452001</v>
      </c>
      <c r="BP22" s="3">
        <f t="shared" si="58"/>
        <v>227327.95458538376</v>
      </c>
      <c r="BQ22" s="3">
        <f t="shared" si="58"/>
        <v>271490.54277514061</v>
      </c>
      <c r="BR22" s="3">
        <f t="shared" ref="BR22:BS22" si="59">+BR19+BR20+BR21</f>
        <v>323064.40946481377</v>
      </c>
      <c r="BS22" s="3">
        <f t="shared" si="59"/>
        <v>383256.28645883314</v>
      </c>
    </row>
    <row r="23" spans="2:124">
      <c r="B23" s="1" t="s">
        <v>34</v>
      </c>
      <c r="O23" s="1">
        <f>836+4</f>
        <v>840</v>
      </c>
      <c r="P23" s="1">
        <f>257+7</f>
        <v>264</v>
      </c>
      <c r="S23" s="1">
        <f>744+104</f>
        <v>848</v>
      </c>
      <c r="T23" s="1">
        <f>984-6</f>
        <v>978</v>
      </c>
      <c r="U23" s="1">
        <f>569-91</f>
        <v>478</v>
      </c>
      <c r="V23" s="1">
        <f>566-23</f>
        <v>543</v>
      </c>
      <c r="Y23" s="1">
        <v>1159</v>
      </c>
      <c r="Z23" s="1">
        <v>611</v>
      </c>
      <c r="AA23" s="1">
        <v>-1422</v>
      </c>
      <c r="AB23" s="1">
        <v>-637</v>
      </c>
      <c r="AC23" s="1">
        <v>69</v>
      </c>
      <c r="AD23" s="1">
        <v>-1227</v>
      </c>
      <c r="AE23" s="1">
        <v>948</v>
      </c>
      <c r="AF23" s="1">
        <v>804</v>
      </c>
      <c r="AG23" s="1">
        <v>2306</v>
      </c>
      <c r="AH23" s="1">
        <v>3062</v>
      </c>
      <c r="AI23" s="1">
        <v>2467</v>
      </c>
      <c r="AJ23" s="1">
        <f>1767-7</f>
        <v>1760</v>
      </c>
      <c r="AK23" s="1">
        <v>2706</v>
      </c>
      <c r="AL23" s="3">
        <v>3062</v>
      </c>
      <c r="BD23" s="1">
        <f>769+4</f>
        <v>773</v>
      </c>
      <c r="BE23" s="1">
        <f>1197-9</f>
        <v>1188</v>
      </c>
      <c r="BG23" s="1">
        <f>2863-16</f>
        <v>2847</v>
      </c>
      <c r="BH23" s="1">
        <v>4791</v>
      </c>
      <c r="BI23" s="1">
        <v>-3217</v>
      </c>
      <c r="BJ23" s="1">
        <v>7120</v>
      </c>
      <c r="BK23" s="3">
        <f>9265+101</f>
        <v>9366</v>
      </c>
      <c r="BL23" s="3">
        <f t="shared" ref="BL23:BQ23" si="60">+BL22*0.2</f>
        <v>15031.483424000005</v>
      </c>
      <c r="BM23" s="3">
        <f t="shared" si="60"/>
        <v>20443.791122880004</v>
      </c>
      <c r="BN23" s="3">
        <f t="shared" si="60"/>
        <v>27203.013972478413</v>
      </c>
      <c r="BO23" s="3">
        <f t="shared" si="60"/>
        <v>35872.750760904004</v>
      </c>
      <c r="BP23" s="3">
        <f t="shared" si="60"/>
        <v>45465.590917076755</v>
      </c>
      <c r="BQ23" s="3">
        <f t="shared" si="60"/>
        <v>54298.108555028128</v>
      </c>
      <c r="BR23" s="3">
        <f t="shared" ref="BR23:BS23" si="61">+BR22*0.2</f>
        <v>64612.88189296276</v>
      </c>
      <c r="BS23" s="3">
        <f t="shared" si="61"/>
        <v>76651.257291766626</v>
      </c>
    </row>
    <row r="24" spans="2:124">
      <c r="B24" s="2" t="s">
        <v>35</v>
      </c>
      <c r="C24" s="7">
        <f t="shared" ref="C24:Y24" si="62">+C22-C23</f>
        <v>0</v>
      </c>
      <c r="D24" s="7">
        <f t="shared" si="62"/>
        <v>0</v>
      </c>
      <c r="E24" s="7">
        <f t="shared" si="62"/>
        <v>0</v>
      </c>
      <c r="F24" s="7">
        <f t="shared" si="62"/>
        <v>0</v>
      </c>
      <c r="G24" s="7">
        <f t="shared" si="62"/>
        <v>0</v>
      </c>
      <c r="H24" s="7">
        <f t="shared" si="62"/>
        <v>0</v>
      </c>
      <c r="I24" s="7">
        <f t="shared" si="62"/>
        <v>0</v>
      </c>
      <c r="J24" s="7">
        <f t="shared" si="62"/>
        <v>0</v>
      </c>
      <c r="K24" s="7">
        <f t="shared" si="62"/>
        <v>0</v>
      </c>
      <c r="L24" s="7">
        <f t="shared" si="62"/>
        <v>0</v>
      </c>
      <c r="M24" s="7">
        <f t="shared" si="62"/>
        <v>0</v>
      </c>
      <c r="N24" s="7">
        <f t="shared" si="62"/>
        <v>0</v>
      </c>
      <c r="O24" s="7">
        <f t="shared" si="62"/>
        <v>3561</v>
      </c>
      <c r="P24" s="7">
        <f t="shared" si="62"/>
        <v>2625</v>
      </c>
      <c r="Q24" s="7">
        <f t="shared" si="62"/>
        <v>0</v>
      </c>
      <c r="R24" s="7">
        <f t="shared" si="62"/>
        <v>0</v>
      </c>
      <c r="S24" s="7">
        <f t="shared" si="62"/>
        <v>2535</v>
      </c>
      <c r="T24" s="7">
        <f t="shared" si="62"/>
        <v>5243</v>
      </c>
      <c r="U24" s="7">
        <f t="shared" si="62"/>
        <v>6331</v>
      </c>
      <c r="V24" s="7">
        <f t="shared" si="62"/>
        <v>7222</v>
      </c>
      <c r="W24" s="7">
        <f t="shared" si="62"/>
        <v>108518</v>
      </c>
      <c r="X24" s="7">
        <f t="shared" si="62"/>
        <v>113080</v>
      </c>
      <c r="Y24" s="7">
        <f t="shared" si="62"/>
        <v>3156</v>
      </c>
      <c r="Z24" s="7">
        <f t="shared" ref="Z24" si="63">+Z22-Z23</f>
        <v>-1677</v>
      </c>
      <c r="AA24" s="7">
        <f t="shared" ref="AA24:AH24" si="64">+AA22-AA23</f>
        <v>-3843</v>
      </c>
      <c r="AB24" s="7">
        <f t="shared" si="64"/>
        <v>-1932</v>
      </c>
      <c r="AC24" s="7">
        <f t="shared" si="64"/>
        <v>2875</v>
      </c>
      <c r="AD24" s="7">
        <f t="shared" si="64"/>
        <v>-10135</v>
      </c>
      <c r="AE24" s="7">
        <f t="shared" si="64"/>
        <v>3171</v>
      </c>
      <c r="AF24" s="7">
        <f t="shared" si="64"/>
        <v>6759</v>
      </c>
      <c r="AG24" s="7">
        <f t="shared" si="64"/>
        <v>9883</v>
      </c>
      <c r="AH24" s="7">
        <f t="shared" si="64"/>
        <v>10624</v>
      </c>
      <c r="AI24" s="7">
        <f>+AI22-AI23</f>
        <v>10516</v>
      </c>
      <c r="AJ24" s="7">
        <f t="shared" ref="AJ24:AL24" si="65">+AJ22-AJ23</f>
        <v>13485</v>
      </c>
      <c r="AK24" s="7">
        <f t="shared" si="65"/>
        <v>15331</v>
      </c>
      <c r="AL24" s="7">
        <f t="shared" si="65"/>
        <v>28455</v>
      </c>
      <c r="AT24" s="19">
        <v>476</v>
      </c>
      <c r="AU24" s="19">
        <v>645</v>
      </c>
      <c r="AV24" s="19">
        <v>902</v>
      </c>
      <c r="AW24" s="19">
        <v>1152</v>
      </c>
      <c r="AX24" s="19">
        <v>631</v>
      </c>
      <c r="AY24" s="19">
        <v>-39</v>
      </c>
      <c r="AZ24" s="19">
        <v>274</v>
      </c>
      <c r="BA24" s="19">
        <v>-241</v>
      </c>
      <c r="BB24" s="19">
        <v>596</v>
      </c>
      <c r="BC24" s="19">
        <v>2371</v>
      </c>
      <c r="BD24" s="7">
        <f t="shared" ref="BD24:BJ24" si="66">+BD22-BD23</f>
        <v>3033</v>
      </c>
      <c r="BE24" s="7">
        <f t="shared" si="66"/>
        <v>10073</v>
      </c>
      <c r="BF24" s="7">
        <f t="shared" si="66"/>
        <v>13976</v>
      </c>
      <c r="BG24" s="7">
        <f t="shared" si="66"/>
        <v>21331</v>
      </c>
      <c r="BH24" s="7">
        <f t="shared" si="66"/>
        <v>33360</v>
      </c>
      <c r="BI24" s="7">
        <f t="shared" si="66"/>
        <v>-2719</v>
      </c>
      <c r="BJ24" s="7">
        <f t="shared" si="66"/>
        <v>30437</v>
      </c>
      <c r="BK24" s="7">
        <f t="shared" ref="BK24:BQ24" si="67">+BK22-BK23</f>
        <v>59248</v>
      </c>
      <c r="BL24" s="7">
        <f t="shared" si="67"/>
        <v>60125.933696000022</v>
      </c>
      <c r="BM24" s="7">
        <f t="shared" si="67"/>
        <v>81775.164491520001</v>
      </c>
      <c r="BN24" s="7">
        <f t="shared" si="67"/>
        <v>108812.05588991365</v>
      </c>
      <c r="BO24" s="7">
        <f t="shared" si="67"/>
        <v>143491.00304361602</v>
      </c>
      <c r="BP24" s="7">
        <f t="shared" si="67"/>
        <v>181862.36366830702</v>
      </c>
      <c r="BQ24" s="7">
        <f t="shared" si="67"/>
        <v>217192.43422011248</v>
      </c>
      <c r="BR24" s="7">
        <f t="shared" ref="BR24:BS24" si="68">+BR22-BR23</f>
        <v>258451.52757185101</v>
      </c>
      <c r="BS24" s="7">
        <f t="shared" si="68"/>
        <v>306605.0291670665</v>
      </c>
      <c r="BT24" s="7">
        <f t="shared" ref="BT24:CY24" si="69">+BS24*(1+$BV$3)</f>
        <v>312737.12975040782</v>
      </c>
      <c r="BU24" s="7">
        <f t="shared" si="69"/>
        <v>318991.87234541599</v>
      </c>
      <c r="BV24" s="7">
        <f t="shared" si="69"/>
        <v>325371.70979232434</v>
      </c>
      <c r="BW24" s="7">
        <f t="shared" si="69"/>
        <v>331879.14398817084</v>
      </c>
      <c r="BX24" s="7">
        <f t="shared" si="69"/>
        <v>338516.72686793428</v>
      </c>
      <c r="BY24" s="7">
        <f t="shared" si="69"/>
        <v>345287.06140529294</v>
      </c>
      <c r="BZ24" s="7">
        <f t="shared" si="69"/>
        <v>352192.80263339879</v>
      </c>
      <c r="CA24" s="7">
        <f t="shared" si="69"/>
        <v>359236.6586860668</v>
      </c>
      <c r="CB24" s="7">
        <f t="shared" si="69"/>
        <v>366421.39185978816</v>
      </c>
      <c r="CC24" s="7">
        <f t="shared" si="69"/>
        <v>373749.8196969839</v>
      </c>
      <c r="CD24" s="7">
        <f t="shared" si="69"/>
        <v>381224.81609092362</v>
      </c>
      <c r="CE24" s="7">
        <f t="shared" si="69"/>
        <v>388849.31241274212</v>
      </c>
      <c r="CF24" s="7">
        <f t="shared" si="69"/>
        <v>396626.29866099695</v>
      </c>
      <c r="CG24" s="7">
        <f t="shared" si="69"/>
        <v>404558.8246342169</v>
      </c>
      <c r="CH24" s="7">
        <f t="shared" si="69"/>
        <v>412650.00112690125</v>
      </c>
      <c r="CI24" s="7">
        <f t="shared" si="69"/>
        <v>420903.00114943925</v>
      </c>
      <c r="CJ24" s="7">
        <f t="shared" si="69"/>
        <v>429321.06117242802</v>
      </c>
      <c r="CK24" s="7">
        <f t="shared" si="69"/>
        <v>437907.48239587661</v>
      </c>
      <c r="CL24" s="7">
        <f t="shared" si="69"/>
        <v>446665.63204379415</v>
      </c>
      <c r="CM24" s="7">
        <f t="shared" si="69"/>
        <v>455598.94468467002</v>
      </c>
      <c r="CN24" s="7">
        <f t="shared" si="69"/>
        <v>464710.92357836344</v>
      </c>
      <c r="CO24" s="7">
        <f t="shared" si="69"/>
        <v>474005.1420499307</v>
      </c>
      <c r="CP24" s="7">
        <f t="shared" si="69"/>
        <v>483485.24489092932</v>
      </c>
      <c r="CQ24" s="7">
        <f t="shared" si="69"/>
        <v>493154.94978874794</v>
      </c>
      <c r="CR24" s="7">
        <f t="shared" si="69"/>
        <v>503018.04878452292</v>
      </c>
      <c r="CS24" s="7">
        <f t="shared" si="69"/>
        <v>513078.4097602134</v>
      </c>
      <c r="CT24" s="7">
        <f t="shared" si="69"/>
        <v>523339.97795541765</v>
      </c>
      <c r="CU24" s="7">
        <f t="shared" si="69"/>
        <v>533806.77751452604</v>
      </c>
      <c r="CV24" s="7">
        <f t="shared" si="69"/>
        <v>544482.91306481662</v>
      </c>
      <c r="CW24" s="7">
        <f t="shared" si="69"/>
        <v>555372.57132611296</v>
      </c>
      <c r="CX24" s="7">
        <f t="shared" si="69"/>
        <v>566480.02275263518</v>
      </c>
      <c r="CY24" s="7">
        <f t="shared" si="69"/>
        <v>577809.62320768787</v>
      </c>
      <c r="CZ24" s="7">
        <f t="shared" ref="CZ24:DT24" si="70">+CY24*(1+$BV$3)</f>
        <v>589365.81567184161</v>
      </c>
      <c r="DA24" s="7">
        <f t="shared" si="70"/>
        <v>601153.13198527845</v>
      </c>
      <c r="DB24" s="7">
        <f t="shared" si="70"/>
        <v>613176.19462498405</v>
      </c>
      <c r="DC24" s="7">
        <f t="shared" si="70"/>
        <v>625439.71851748379</v>
      </c>
      <c r="DD24" s="7">
        <f t="shared" si="70"/>
        <v>637948.51288783352</v>
      </c>
      <c r="DE24" s="7">
        <f t="shared" si="70"/>
        <v>650707.48314559017</v>
      </c>
      <c r="DF24" s="7">
        <f t="shared" si="70"/>
        <v>663721.63280850195</v>
      </c>
      <c r="DG24" s="7">
        <f t="shared" si="70"/>
        <v>676996.06546467205</v>
      </c>
      <c r="DH24" s="7">
        <f t="shared" si="70"/>
        <v>690535.98677396553</v>
      </c>
      <c r="DI24" s="7">
        <f t="shared" si="70"/>
        <v>704346.70650944486</v>
      </c>
      <c r="DJ24" s="7">
        <f t="shared" si="70"/>
        <v>718433.64063963376</v>
      </c>
      <c r="DK24" s="7">
        <f t="shared" si="70"/>
        <v>732802.31345242646</v>
      </c>
      <c r="DL24" s="7">
        <f t="shared" si="70"/>
        <v>747458.35972147505</v>
      </c>
      <c r="DM24" s="7">
        <f t="shared" si="70"/>
        <v>762407.5269159046</v>
      </c>
      <c r="DN24" s="7">
        <f t="shared" si="70"/>
        <v>777655.67745422269</v>
      </c>
      <c r="DO24" s="7">
        <f t="shared" si="70"/>
        <v>793208.79100330721</v>
      </c>
      <c r="DP24" s="7">
        <f t="shared" si="70"/>
        <v>809072.96682337334</v>
      </c>
      <c r="DQ24" s="7">
        <f t="shared" si="70"/>
        <v>825254.42615984078</v>
      </c>
      <c r="DR24" s="7">
        <f t="shared" si="70"/>
        <v>841759.51468303765</v>
      </c>
      <c r="DS24" s="7">
        <f t="shared" si="70"/>
        <v>858594.70497669838</v>
      </c>
      <c r="DT24" s="7">
        <f t="shared" si="70"/>
        <v>875766.59907623241</v>
      </c>
    </row>
    <row r="25" spans="2:124">
      <c r="B25" s="1" t="s">
        <v>36</v>
      </c>
      <c r="C25" s="3"/>
      <c r="D25" s="3"/>
      <c r="E25" s="3"/>
      <c r="F25" s="3"/>
      <c r="G25" s="3"/>
      <c r="H25" s="3"/>
      <c r="I25" s="3"/>
      <c r="J25" s="3"/>
      <c r="K25" s="3"/>
      <c r="L25" s="3"/>
      <c r="M25" s="3"/>
      <c r="N25" s="3"/>
      <c r="O25" s="3">
        <f>502*20</f>
        <v>10040</v>
      </c>
      <c r="P25" s="3">
        <f>503*20</f>
        <v>10060</v>
      </c>
      <c r="Q25" s="3"/>
      <c r="R25" s="3"/>
      <c r="S25" s="3">
        <f>506*20</f>
        <v>10120</v>
      </c>
      <c r="T25" s="3">
        <f>509*20</f>
        <v>10180</v>
      </c>
      <c r="U25" s="3">
        <f>512*20</f>
        <v>10240</v>
      </c>
      <c r="V25" s="3">
        <f>513*20</f>
        <v>10260</v>
      </c>
      <c r="W25" s="3"/>
      <c r="X25" s="3"/>
      <c r="Y25" s="3">
        <f>515*20</f>
        <v>10300</v>
      </c>
      <c r="Z25" s="3">
        <f>516*20</f>
        <v>10320</v>
      </c>
      <c r="AA25" s="3">
        <f>509*20</f>
        <v>10180</v>
      </c>
      <c r="AB25" s="3">
        <v>10175</v>
      </c>
      <c r="AC25" s="3">
        <v>10331</v>
      </c>
      <c r="AD25" s="3">
        <v>10308</v>
      </c>
      <c r="AE25" s="3">
        <v>10347</v>
      </c>
      <c r="AF25" s="3">
        <v>10449</v>
      </c>
      <c r="AG25" s="3">
        <v>10558</v>
      </c>
      <c r="AH25" s="3">
        <v>10610</v>
      </c>
      <c r="AI25" s="3">
        <v>10670</v>
      </c>
      <c r="AJ25" s="3">
        <v>10708</v>
      </c>
      <c r="AK25" s="1">
        <v>10735</v>
      </c>
      <c r="AL25" s="3">
        <v>10610</v>
      </c>
      <c r="BC25" s="3"/>
      <c r="BD25" s="3">
        <f>493*20</f>
        <v>9860</v>
      </c>
      <c r="BE25" s="3">
        <f>500*20</f>
        <v>10000</v>
      </c>
      <c r="BF25" s="3">
        <f>504*20</f>
        <v>10080</v>
      </c>
      <c r="BG25" s="3">
        <f>510*20</f>
        <v>10200</v>
      </c>
      <c r="BH25" s="3">
        <v>10296</v>
      </c>
      <c r="BI25" s="3">
        <v>10189</v>
      </c>
      <c r="BJ25" s="3">
        <v>10492</v>
      </c>
      <c r="BK25" s="3">
        <v>10721</v>
      </c>
      <c r="BL25" s="3">
        <f t="shared" ref="BL25:BQ25" si="71">+BK25*0.99</f>
        <v>10613.789999999999</v>
      </c>
      <c r="BM25" s="3">
        <f t="shared" si="71"/>
        <v>10507.652099999999</v>
      </c>
      <c r="BN25" s="3">
        <f t="shared" si="71"/>
        <v>10402.575578999998</v>
      </c>
      <c r="BO25" s="3">
        <f t="shared" si="71"/>
        <v>10298.549823209998</v>
      </c>
      <c r="BP25" s="3">
        <f t="shared" si="71"/>
        <v>10195.564324977899</v>
      </c>
      <c r="BQ25" s="3">
        <f t="shared" si="71"/>
        <v>10093.608681728119</v>
      </c>
      <c r="BR25" s="3">
        <f t="shared" ref="BR25" si="72">+BQ25*0.99</f>
        <v>9992.6725949108386</v>
      </c>
      <c r="BS25" s="3">
        <f t="shared" ref="BS25" si="73">+BR25*0.99</f>
        <v>9892.7458689617306</v>
      </c>
    </row>
    <row r="26" spans="2:124">
      <c r="B26" s="1" t="s">
        <v>37</v>
      </c>
      <c r="C26" s="5"/>
      <c r="D26" s="5"/>
      <c r="E26" s="5"/>
      <c r="F26" s="5"/>
      <c r="G26" s="5"/>
      <c r="H26" s="5"/>
      <c r="I26" s="5"/>
      <c r="J26" s="5"/>
      <c r="K26" s="5"/>
      <c r="L26" s="5"/>
      <c r="M26" s="5"/>
      <c r="N26" s="5"/>
      <c r="O26" s="5">
        <f t="shared" ref="O26:Y26" si="74">+O24/O25</f>
        <v>0.35468127490039841</v>
      </c>
      <c r="P26" s="5">
        <f t="shared" si="74"/>
        <v>0.26093439363817095</v>
      </c>
      <c r="Q26" s="5"/>
      <c r="R26" s="5"/>
      <c r="S26" s="5">
        <f t="shared" si="74"/>
        <v>0.25049407114624506</v>
      </c>
      <c r="T26" s="5">
        <f t="shared" si="74"/>
        <v>0.51502946954813356</v>
      </c>
      <c r="U26" s="5">
        <f t="shared" si="74"/>
        <v>0.61826171875000002</v>
      </c>
      <c r="V26" s="5">
        <f t="shared" si="74"/>
        <v>0.7038986354775828</v>
      </c>
      <c r="W26" s="5" t="e">
        <f t="shared" si="74"/>
        <v>#DIV/0!</v>
      </c>
      <c r="X26" s="5" t="e">
        <f t="shared" si="74"/>
        <v>#DIV/0!</v>
      </c>
      <c r="Y26" s="5">
        <f t="shared" si="74"/>
        <v>0.30640776699029126</v>
      </c>
      <c r="Z26" s="5">
        <f t="shared" ref="Z26" si="75">+Z24/Z25</f>
        <v>-0.16250000000000001</v>
      </c>
      <c r="AA26" s="5">
        <f t="shared" ref="AA26:AH26" si="76">+AA24/AA25</f>
        <v>-0.37750491159135557</v>
      </c>
      <c r="AB26" s="5">
        <f t="shared" si="76"/>
        <v>-0.18987714987714988</v>
      </c>
      <c r="AC26" s="5">
        <f t="shared" si="76"/>
        <v>0.27828864582325041</v>
      </c>
      <c r="AD26" s="5">
        <f t="shared" si="76"/>
        <v>-0.98321691889794338</v>
      </c>
      <c r="AE26" s="5">
        <f t="shared" si="76"/>
        <v>0.30646564221513484</v>
      </c>
      <c r="AF26" s="5">
        <f t="shared" si="76"/>
        <v>0.64685615848406541</v>
      </c>
      <c r="AG26" s="5">
        <f t="shared" si="76"/>
        <v>0.93606743701458606</v>
      </c>
      <c r="AH26" s="5">
        <f t="shared" si="76"/>
        <v>1.0013195098963241</v>
      </c>
      <c r="AI26" s="5">
        <f>+AI24/AI25</f>
        <v>0.9855670103092784</v>
      </c>
      <c r="AJ26" s="5">
        <f t="shared" ref="AJ26:AL26" si="77">+AJ24/AJ25</f>
        <v>1.2593388121031004</v>
      </c>
      <c r="AK26" s="5">
        <f t="shared" si="77"/>
        <v>1.4281322775966465</v>
      </c>
      <c r="AL26" s="5">
        <f t="shared" si="77"/>
        <v>2.6819038642789823</v>
      </c>
      <c r="BC26" s="5"/>
      <c r="BD26" s="5">
        <f t="shared" ref="BD26:BJ26" si="78">+BD24/BD25</f>
        <v>0.30760649087221098</v>
      </c>
      <c r="BE26" s="5">
        <f t="shared" si="78"/>
        <v>1.0073000000000001</v>
      </c>
      <c r="BF26" s="5">
        <f t="shared" si="78"/>
        <v>1.3865079365079365</v>
      </c>
      <c r="BG26" s="5">
        <f t="shared" si="78"/>
        <v>2.0912745098039216</v>
      </c>
      <c r="BH26" s="5">
        <f t="shared" si="78"/>
        <v>3.2400932400932403</v>
      </c>
      <c r="BI26" s="5">
        <f t="shared" si="78"/>
        <v>-0.2668564137795662</v>
      </c>
      <c r="BJ26" s="5">
        <f t="shared" si="78"/>
        <v>2.9009721692718262</v>
      </c>
      <c r="BK26" s="5">
        <f t="shared" ref="BK26:BQ26" si="79">+BK24/BK25</f>
        <v>5.5263501539035538</v>
      </c>
      <c r="BL26" s="5">
        <f t="shared" si="79"/>
        <v>5.6648881969588647</v>
      </c>
      <c r="BM26" s="5">
        <f t="shared" si="79"/>
        <v>7.7824392845591079</v>
      </c>
      <c r="BN26" s="5">
        <f t="shared" si="79"/>
        <v>10.460107217060353</v>
      </c>
      <c r="BO26" s="5">
        <f t="shared" si="79"/>
        <v>13.933127042821909</v>
      </c>
      <c r="BP26" s="5">
        <f t="shared" si="79"/>
        <v>17.837400449013522</v>
      </c>
      <c r="BQ26" s="5">
        <f t="shared" si="79"/>
        <v>21.517817964677338</v>
      </c>
      <c r="BR26" s="5">
        <f t="shared" ref="BR26:BS26" si="80">+BR24/BR25</f>
        <v>25.864104434230899</v>
      </c>
      <c r="BS26" s="5">
        <f t="shared" si="80"/>
        <v>30.992914730482759</v>
      </c>
    </row>
    <row r="28" spans="2:124">
      <c r="B28" s="1" t="s">
        <v>88</v>
      </c>
      <c r="C28" s="4"/>
      <c r="D28" s="4"/>
      <c r="E28" s="4"/>
      <c r="F28" s="4"/>
      <c r="G28" s="4"/>
      <c r="H28" s="4"/>
      <c r="I28" s="4"/>
      <c r="J28" s="4"/>
      <c r="K28" s="4"/>
      <c r="L28" s="4"/>
      <c r="M28" s="4"/>
      <c r="N28" s="4"/>
      <c r="O28" s="4">
        <f>+O13/O10</f>
        <v>0.28775544388609714</v>
      </c>
      <c r="P28" s="4">
        <f>+P13/P10</f>
        <v>0.28067629802536115</v>
      </c>
      <c r="Q28" s="4"/>
      <c r="R28" s="4"/>
      <c r="S28" s="4">
        <f t="shared" ref="S28:AJ28" si="81">+S13/S10</f>
        <v>0.26061602078142393</v>
      </c>
      <c r="T28" s="4">
        <f t="shared" si="81"/>
        <v>0.25245186251574592</v>
      </c>
      <c r="U28" s="4">
        <f t="shared" si="81"/>
        <v>0.25309688491341203</v>
      </c>
      <c r="V28" s="4">
        <f t="shared" si="81"/>
        <v>0.22139301501334077</v>
      </c>
      <c r="W28" s="4">
        <f t="shared" si="81"/>
        <v>1</v>
      </c>
      <c r="X28" s="4">
        <f t="shared" si="81"/>
        <v>1</v>
      </c>
      <c r="Y28" s="4">
        <f t="shared" si="81"/>
        <v>0.26516983720174708</v>
      </c>
      <c r="Z28" s="4">
        <f t="shared" si="81"/>
        <v>0.13286989753895825</v>
      </c>
      <c r="AA28" s="4">
        <f t="shared" si="81"/>
        <v>0.25483494211809971</v>
      </c>
      <c r="AB28" s="4">
        <f t="shared" si="81"/>
        <v>0.28480522263802566</v>
      </c>
      <c r="AC28" s="4">
        <f t="shared" si="81"/>
        <v>0.28520625329462396</v>
      </c>
      <c r="AD28" s="4">
        <f t="shared" si="81"/>
        <v>0.2165715685426933</v>
      </c>
      <c r="AE28" s="4">
        <f t="shared" si="81"/>
        <v>0.30356946560090453</v>
      </c>
      <c r="AF28" s="4">
        <f t="shared" si="81"/>
        <v>0.32522714926739243</v>
      </c>
      <c r="AG28" s="4">
        <f t="shared" si="81"/>
        <v>0.3197235171194342</v>
      </c>
      <c r="AH28" s="4">
        <f t="shared" si="81"/>
        <v>0.30191043827701647</v>
      </c>
      <c r="AI28" s="4">
        <f t="shared" si="81"/>
        <v>0.33746415189131479</v>
      </c>
      <c r="AJ28" s="4">
        <f t="shared" si="81"/>
        <v>0.34212073497908457</v>
      </c>
      <c r="AK28" s="4">
        <f t="shared" ref="AK28:AL28" si="82">+AK13/AK10</f>
        <v>0.33510199714244354</v>
      </c>
      <c r="AL28" s="4">
        <f t="shared" si="82"/>
        <v>0.36819459827894691</v>
      </c>
      <c r="AM28" s="4"/>
      <c r="AN28" s="4"/>
      <c r="AO28" s="4"/>
      <c r="AP28" s="4"/>
      <c r="AQ28" s="4"/>
      <c r="AR28" s="4"/>
      <c r="AS28" s="4"/>
      <c r="AT28" s="4"/>
      <c r="AU28" s="4"/>
      <c r="AV28" s="4"/>
      <c r="AW28" s="4"/>
      <c r="AX28" s="4"/>
      <c r="AY28" s="4"/>
      <c r="AZ28" s="4"/>
      <c r="BA28" s="4"/>
      <c r="BB28" s="4"/>
      <c r="BC28" s="4"/>
      <c r="BD28" s="4">
        <f t="shared" ref="BD28:BQ28" si="83">+BD13/BD10</f>
        <v>0.22872836854710848</v>
      </c>
      <c r="BE28" s="4">
        <f t="shared" si="83"/>
        <v>0.25636467471348767</v>
      </c>
      <c r="BF28" s="4">
        <f t="shared" si="83"/>
        <v>0.26648177326555494</v>
      </c>
      <c r="BG28" s="4">
        <f t="shared" si="83"/>
        <v>0.24410460441792034</v>
      </c>
      <c r="BH28" s="4">
        <f t="shared" si="83"/>
        <v>0.26045395915900066</v>
      </c>
      <c r="BI28" s="4">
        <f t="shared" si="83"/>
        <v>0.27404213758042584</v>
      </c>
      <c r="BJ28" s="4">
        <f t="shared" si="83"/>
        <v>0.31216367859286515</v>
      </c>
      <c r="BK28" s="4">
        <f t="shared" si="83"/>
        <v>0.33413746024431035</v>
      </c>
      <c r="BL28" s="4">
        <f t="shared" si="83"/>
        <v>0.32500000000000001</v>
      </c>
      <c r="BM28" s="4">
        <f t="shared" si="83"/>
        <v>0.33200000000000007</v>
      </c>
      <c r="BN28" s="4">
        <f t="shared" si="83"/>
        <v>0.34</v>
      </c>
      <c r="BO28" s="4">
        <f t="shared" si="83"/>
        <v>0.35000000000000003</v>
      </c>
      <c r="BP28" s="4">
        <f t="shared" si="83"/>
        <v>0.35499999999999998</v>
      </c>
      <c r="BQ28" s="4">
        <f t="shared" si="83"/>
        <v>0.35500000000000004</v>
      </c>
      <c r="BR28" s="4">
        <f t="shared" ref="BR28:BS28" si="84">+BR13/BR10</f>
        <v>0.35499999999999998</v>
      </c>
      <c r="BS28" s="4">
        <f t="shared" si="84"/>
        <v>0.35500000000000004</v>
      </c>
    </row>
    <row r="29" spans="2:124">
      <c r="B29" s="1" t="s">
        <v>44</v>
      </c>
      <c r="C29" s="8"/>
      <c r="D29" s="8"/>
      <c r="E29" s="8"/>
      <c r="F29" s="8"/>
      <c r="G29" s="8"/>
      <c r="H29" s="8"/>
      <c r="I29" s="8"/>
      <c r="J29" s="8"/>
      <c r="K29" s="8"/>
      <c r="L29" s="8"/>
      <c r="M29" s="8"/>
      <c r="N29" s="8"/>
      <c r="O29" s="8">
        <f>+O19/O10</f>
        <v>7.4036850921273031E-2</v>
      </c>
      <c r="P29" s="8">
        <f>+P19/P10</f>
        <v>4.8640464324017411E-2</v>
      </c>
      <c r="Q29" s="8"/>
      <c r="R29" s="8"/>
      <c r="S29" s="8">
        <f t="shared" ref="S29:AJ29" si="85">+S19/S10</f>
        <v>5.2868048560674334E-2</v>
      </c>
      <c r="T29" s="8">
        <f t="shared" si="85"/>
        <v>6.5716663667446468E-2</v>
      </c>
      <c r="U29" s="8">
        <f t="shared" si="85"/>
        <v>6.4423526964480726E-2</v>
      </c>
      <c r="V29" s="8">
        <f t="shared" si="85"/>
        <v>5.4740950181195493E-2</v>
      </c>
      <c r="W29" s="8">
        <f t="shared" si="85"/>
        <v>1</v>
      </c>
      <c r="X29" s="8">
        <f t="shared" si="85"/>
        <v>1</v>
      </c>
      <c r="Y29" s="8">
        <f t="shared" si="85"/>
        <v>4.3785871566256365E-2</v>
      </c>
      <c r="Z29" s="8">
        <f t="shared" si="85"/>
        <v>-0.10328468355681482</v>
      </c>
      <c r="AA29" s="8">
        <f t="shared" si="85"/>
        <v>3.1508708048504003E-2</v>
      </c>
      <c r="AB29" s="8">
        <f t="shared" si="85"/>
        <v>2.803376250844887E-2</v>
      </c>
      <c r="AC29" s="8">
        <f t="shared" si="85"/>
        <v>1.986609074672898E-2</v>
      </c>
      <c r="AD29" s="8">
        <f t="shared" si="85"/>
        <v>-5.520734272787528E-2</v>
      </c>
      <c r="AE29" s="8">
        <f t="shared" si="85"/>
        <v>3.7484885126964934E-2</v>
      </c>
      <c r="AF29" s="8">
        <f t="shared" si="85"/>
        <v>5.7157527365812637E-2</v>
      </c>
      <c r="AG29" s="8">
        <f t="shared" si="85"/>
        <v>7.8192377850618167E-2</v>
      </c>
      <c r="AH29" s="8">
        <f t="shared" si="85"/>
        <v>7.771782938438819E-2</v>
      </c>
      <c r="AI29" s="8">
        <f t="shared" si="85"/>
        <v>0.10680817511321374</v>
      </c>
      <c r="AJ29" s="8">
        <f t="shared" si="85"/>
        <v>9.9150543665569649E-2</v>
      </c>
      <c r="AK29" s="8">
        <f t="shared" ref="AK29:AL29" si="86">+AK19/AK10</f>
        <v>0.1095879202150091</v>
      </c>
      <c r="AL29" s="8">
        <f t="shared" si="86"/>
        <v>0.16528925619834711</v>
      </c>
      <c r="BC29" s="8"/>
      <c r="BD29" s="8">
        <f t="shared" ref="BD29:BQ29" si="87">+BD19/BD10</f>
        <v>2.3084794170892695E-2</v>
      </c>
      <c r="BE29" s="8">
        <f t="shared" si="87"/>
        <v>5.3334879147397665E-2</v>
      </c>
      <c r="BF29" s="8">
        <f t="shared" si="87"/>
        <v>5.1835506662579051E-2</v>
      </c>
      <c r="BG29" s="8">
        <f t="shared" si="87"/>
        <v>5.9313999751336569E-2</v>
      </c>
      <c r="BH29" s="8">
        <f t="shared" si="87"/>
        <v>5.2954097509269465E-2</v>
      </c>
      <c r="BI29" s="8">
        <f t="shared" si="87"/>
        <v>2.3829581912242232E-2</v>
      </c>
      <c r="BJ29" s="8">
        <f t="shared" si="87"/>
        <v>6.4114407996033296E-2</v>
      </c>
      <c r="BK29" s="8">
        <f t="shared" si="87"/>
        <v>0.1075194487420038</v>
      </c>
      <c r="BL29" s="8">
        <f t="shared" si="87"/>
        <v>9.5925444433413984E-2</v>
      </c>
      <c r="BM29" s="8">
        <f t="shared" si="87"/>
        <v>0.10868078224881808</v>
      </c>
      <c r="BN29" s="8">
        <f t="shared" si="87"/>
        <v>0.12188896389764738</v>
      </c>
      <c r="BO29" s="8">
        <f t="shared" si="87"/>
        <v>0.13675856148317489</v>
      </c>
      <c r="BP29" s="8">
        <f t="shared" si="87"/>
        <v>0.14641197878994766</v>
      </c>
      <c r="BQ29" s="8">
        <f t="shared" si="87"/>
        <v>0.14905351969361086</v>
      </c>
      <c r="BR29" s="8">
        <f t="shared" ref="BR29:BS29" si="88">+BR19/BR10</f>
        <v>0.15169303652032171</v>
      </c>
      <c r="BS29" s="8">
        <f t="shared" si="88"/>
        <v>0.15432633427320633</v>
      </c>
    </row>
    <row r="31" spans="2:124">
      <c r="B31" s="1" t="s">
        <v>45</v>
      </c>
      <c r="G31" s="4"/>
      <c r="H31" s="4"/>
      <c r="I31" s="4"/>
      <c r="J31" s="4"/>
      <c r="K31" s="4"/>
      <c r="L31" s="4"/>
      <c r="M31" s="4"/>
      <c r="N31" s="4"/>
      <c r="O31" s="4"/>
      <c r="P31" s="4"/>
      <c r="Q31" s="4"/>
      <c r="R31" s="4"/>
      <c r="S31" s="4">
        <f t="shared" ref="S31:T33" si="89">+S2/O2-1</f>
        <v>0.24252491694352152</v>
      </c>
      <c r="T31" s="4">
        <f t="shared" si="89"/>
        <v>0.47798924419540789</v>
      </c>
      <c r="U31" s="4"/>
      <c r="V31" s="4"/>
      <c r="W31" s="4">
        <f t="shared" ref="W31:AJ33" si="90">+W2/S2-1</f>
        <v>0.44333187820582776</v>
      </c>
      <c r="X31" s="4">
        <f t="shared" si="90"/>
        <v>0.15820550810528156</v>
      </c>
      <c r="Y31" s="4">
        <f t="shared" si="90"/>
        <v>3.2926577042399208E-2</v>
      </c>
      <c r="Z31" s="4">
        <f t="shared" si="90"/>
        <v>-5.6583046154309313E-3</v>
      </c>
      <c r="AA31" s="4">
        <f t="shared" si="90"/>
        <v>-3.3496531256497986E-2</v>
      </c>
      <c r="AB31" s="4">
        <f t="shared" si="90"/>
        <v>-4.274131346765242E-2</v>
      </c>
      <c r="AC31" s="4">
        <f t="shared" si="90"/>
        <v>7.102238596772259E-2</v>
      </c>
      <c r="AD31" s="4">
        <f t="shared" si="90"/>
        <v>-2.3367385546727237E-2</v>
      </c>
      <c r="AE31" s="4">
        <f t="shared" si="90"/>
        <v>-6.4542627471686487E-4</v>
      </c>
      <c r="AF31" s="4">
        <f t="shared" si="90"/>
        <v>4.0896138351184108E-2</v>
      </c>
      <c r="AG31" s="4">
        <f t="shared" si="90"/>
        <v>7.0631344762474457E-2</v>
      </c>
      <c r="AH31" s="4">
        <f t="shared" si="90"/>
        <v>9.3164525576854507E-2</v>
      </c>
      <c r="AI31" s="4">
        <f t="shared" si="90"/>
        <v>6.9946766870205179E-2</v>
      </c>
      <c r="AJ31" s="4">
        <f t="shared" si="90"/>
        <v>4.5802967941698469E-2</v>
      </c>
      <c r="AK31" s="4">
        <f t="shared" ref="AK31:AK36" si="91">+AK2/AG2-1</f>
        <v>7.2362791834738927E-2</v>
      </c>
      <c r="AL31" s="4">
        <f t="shared" ref="AL31:AL36" si="92">+AL2/AH2-1</f>
        <v>7.1063039564520869E-2</v>
      </c>
      <c r="BD31" s="4"/>
      <c r="BE31" s="4">
        <f t="shared" ref="BE31:BQ31" si="93">+BE2/BD2-1</f>
        <v>0.13504808313490968</v>
      </c>
      <c r="BF31" s="4">
        <f t="shared" si="93"/>
        <v>0.14847097660728359</v>
      </c>
      <c r="BG31" s="4">
        <f t="shared" si="93"/>
        <v>0.39716949740525465</v>
      </c>
      <c r="BH31" s="4">
        <f t="shared" si="93"/>
        <v>0.12530783497005249</v>
      </c>
      <c r="BI31" s="4">
        <f t="shared" si="93"/>
        <v>-9.3256782618484912E-3</v>
      </c>
      <c r="BJ31" s="4">
        <f t="shared" si="93"/>
        <v>5.3944473736841081E-2</v>
      </c>
      <c r="BK31" s="4">
        <f t="shared" si="93"/>
        <v>6.5367961634005045E-2</v>
      </c>
      <c r="BL31" s="4">
        <f t="shared" si="93"/>
        <v>6.0000000000000053E-2</v>
      </c>
      <c r="BM31" s="4">
        <f t="shared" si="93"/>
        <v>6.4999999999999947E-2</v>
      </c>
      <c r="BN31" s="4">
        <f t="shared" si="93"/>
        <v>6.4999999999999947E-2</v>
      </c>
      <c r="BO31" s="4">
        <f t="shared" si="93"/>
        <v>6.0000000000000053E-2</v>
      </c>
      <c r="BP31" s="4">
        <f t="shared" si="93"/>
        <v>6.0000000000000053E-2</v>
      </c>
      <c r="BQ31" s="4">
        <f t="shared" si="93"/>
        <v>5.0000000000000044E-2</v>
      </c>
      <c r="BR31" s="4">
        <f t="shared" ref="BR31:BR36" si="94">+BR2/BQ2-1</f>
        <v>5.0000000000000044E-2</v>
      </c>
      <c r="BS31" s="4">
        <f t="shared" ref="BS31:BS36" si="95">+BS2/BR2-1</f>
        <v>5.0000000000000044E-2</v>
      </c>
    </row>
    <row r="32" spans="2:124">
      <c r="B32" s="1" t="s">
        <v>46</v>
      </c>
      <c r="G32" s="4"/>
      <c r="H32" s="4"/>
      <c r="I32" s="4"/>
      <c r="J32" s="4"/>
      <c r="K32" s="4"/>
      <c r="L32" s="4"/>
      <c r="M32" s="4"/>
      <c r="N32" s="4"/>
      <c r="O32" s="4"/>
      <c r="P32" s="4"/>
      <c r="Q32" s="4"/>
      <c r="R32" s="4"/>
      <c r="S32" s="4">
        <f t="shared" si="89"/>
        <v>7.7315997213837973E-2</v>
      </c>
      <c r="T32" s="4">
        <f t="shared" si="89"/>
        <v>-0.12840646651270204</v>
      </c>
      <c r="U32" s="4"/>
      <c r="V32" s="4"/>
      <c r="W32" s="4">
        <f t="shared" si="90"/>
        <v>-0.15517241379310343</v>
      </c>
      <c r="X32" s="4">
        <f t="shared" si="90"/>
        <v>0.11234764175940648</v>
      </c>
      <c r="Y32" s="4">
        <f t="shared" si="90"/>
        <v>0.12697993664202745</v>
      </c>
      <c r="Z32" s="4">
        <f t="shared" si="90"/>
        <v>0.16558925907508693</v>
      </c>
      <c r="AA32" s="4">
        <f t="shared" si="90"/>
        <v>0.17117346938775513</v>
      </c>
      <c r="AB32" s="4">
        <f t="shared" si="90"/>
        <v>0.12458313482610772</v>
      </c>
      <c r="AC32" s="4">
        <f t="shared" si="90"/>
        <v>9.9554930897165717E-2</v>
      </c>
      <c r="AD32" s="4">
        <f t="shared" si="90"/>
        <v>5.7380546075085359E-2</v>
      </c>
      <c r="AE32" s="4">
        <f t="shared" si="90"/>
        <v>6.6216510564147235E-2</v>
      </c>
      <c r="AF32" s="4">
        <f t="shared" si="90"/>
        <v>6.4181317517475023E-2</v>
      </c>
      <c r="AG32" s="4">
        <f t="shared" si="90"/>
        <v>5.6455048998721669E-2</v>
      </c>
      <c r="AH32" s="4">
        <f t="shared" si="90"/>
        <v>3.9338309461367738E-2</v>
      </c>
      <c r="AI32" s="4">
        <f t="shared" si="90"/>
        <v>6.2717058222676147E-2</v>
      </c>
      <c r="AJ32" s="4">
        <f t="shared" si="90"/>
        <v>3.6226114649681618E-2</v>
      </c>
      <c r="AK32" s="4">
        <f t="shared" si="91"/>
        <v>5.4244807420851027E-2</v>
      </c>
      <c r="AL32" s="4">
        <f t="shared" si="92"/>
        <v>8.2880434782608647E-2</v>
      </c>
      <c r="BD32" s="4"/>
      <c r="BE32" s="4">
        <f t="shared" ref="BE32:BQ32" si="96">+BE3/BD3-1</f>
        <v>1.9706795446705763</v>
      </c>
      <c r="BF32" s="4">
        <f t="shared" si="96"/>
        <v>-1.8578727357175806E-3</v>
      </c>
      <c r="BG32" s="4">
        <f t="shared" si="96"/>
        <v>-5.6130758492321964E-2</v>
      </c>
      <c r="BH32" s="4">
        <f t="shared" si="96"/>
        <v>5.2258581376717794E-2</v>
      </c>
      <c r="BI32" s="4">
        <f t="shared" si="96"/>
        <v>0.11057101024890192</v>
      </c>
      <c r="BJ32" s="4">
        <f t="shared" si="96"/>
        <v>5.6267468227601203E-2</v>
      </c>
      <c r="BK32" s="4">
        <f t="shared" si="96"/>
        <v>5.9161258112830684E-2</v>
      </c>
      <c r="BL32" s="4">
        <f t="shared" si="96"/>
        <v>6.0000000000000053E-2</v>
      </c>
      <c r="BM32" s="4">
        <f t="shared" si="96"/>
        <v>6.0000000000000053E-2</v>
      </c>
      <c r="BN32" s="4">
        <f t="shared" si="96"/>
        <v>6.0000000000000053E-2</v>
      </c>
      <c r="BO32" s="4">
        <f t="shared" si="96"/>
        <v>6.0000000000000053E-2</v>
      </c>
      <c r="BP32" s="4">
        <f t="shared" si="96"/>
        <v>6.0000000000000053E-2</v>
      </c>
      <c r="BQ32" s="4">
        <f t="shared" si="96"/>
        <v>5.0000000000000044E-2</v>
      </c>
      <c r="BR32" s="4">
        <f t="shared" si="94"/>
        <v>5.0000000000000044E-2</v>
      </c>
      <c r="BS32" s="4">
        <f t="shared" si="95"/>
        <v>5.0000000000000044E-2</v>
      </c>
    </row>
    <row r="33" spans="1:71">
      <c r="B33" s="1" t="s">
        <v>47</v>
      </c>
      <c r="G33" s="4"/>
      <c r="H33" s="4"/>
      <c r="I33" s="4"/>
      <c r="J33" s="4"/>
      <c r="K33" s="4"/>
      <c r="L33" s="4"/>
      <c r="M33" s="4"/>
      <c r="N33" s="4"/>
      <c r="O33" s="4"/>
      <c r="P33" s="4"/>
      <c r="Q33" s="4"/>
      <c r="R33" s="4"/>
      <c r="S33" s="4">
        <f t="shared" si="89"/>
        <v>0.29961403823714217</v>
      </c>
      <c r="T33" s="4">
        <f t="shared" si="89"/>
        <v>0.52106671125229886</v>
      </c>
      <c r="U33" s="4"/>
      <c r="V33" s="4"/>
      <c r="W33" s="4">
        <f t="shared" si="90"/>
        <v>0.63747496374058987</v>
      </c>
      <c r="X33" s="4">
        <f t="shared" si="90"/>
        <v>0.37867546029128873</v>
      </c>
      <c r="Y33" s="4">
        <f t="shared" si="90"/>
        <v>0.18672930123311793</v>
      </c>
      <c r="Z33" s="4">
        <f t="shared" si="90"/>
        <v>0.10952537783144867</v>
      </c>
      <c r="AA33" s="4">
        <f t="shared" si="90"/>
        <v>6.8581551309629285E-2</v>
      </c>
      <c r="AB33" s="4">
        <f t="shared" si="90"/>
        <v>9.1329479768786026E-2</v>
      </c>
      <c r="AC33" s="4">
        <f t="shared" si="90"/>
        <v>0.18200560778492503</v>
      </c>
      <c r="AD33" s="4">
        <f t="shared" si="90"/>
        <v>0.19851583113456472</v>
      </c>
      <c r="AE33" s="4">
        <f t="shared" si="90"/>
        <v>0.177027827116637</v>
      </c>
      <c r="AF33" s="4">
        <f t="shared" si="90"/>
        <v>0.18103448275862077</v>
      </c>
      <c r="AG33" s="4">
        <f t="shared" si="90"/>
        <v>0.19800460475825021</v>
      </c>
      <c r="AH33" s="4">
        <f t="shared" si="90"/>
        <v>0.19868460882247718</v>
      </c>
      <c r="AI33" s="4">
        <f t="shared" si="90"/>
        <v>0.16016096579476868</v>
      </c>
      <c r="AJ33" s="4">
        <f t="shared" si="90"/>
        <v>0.11966472844240994</v>
      </c>
      <c r="AK33" s="4">
        <f t="shared" si="91"/>
        <v>0.10255663618892319</v>
      </c>
      <c r="AL33" s="4">
        <f t="shared" si="92"/>
        <v>9.0130627424872101E-2</v>
      </c>
      <c r="BD33" s="4"/>
      <c r="BE33" s="4">
        <f t="shared" ref="BE33:BQ33" si="97">+BE4/BD4-1</f>
        <v>0.34076722812960702</v>
      </c>
      <c r="BF33" s="4">
        <f t="shared" si="97"/>
        <v>0.25773774710492448</v>
      </c>
      <c r="BG33" s="4">
        <f t="shared" si="97"/>
        <v>0.49661470927420859</v>
      </c>
      <c r="BH33" s="4">
        <f t="shared" si="97"/>
        <v>0.28467207715539211</v>
      </c>
      <c r="BI33" s="4">
        <f t="shared" si="97"/>
        <v>0.13882708047133496</v>
      </c>
      <c r="BJ33" s="4">
        <f t="shared" si="97"/>
        <v>0.18975330456352579</v>
      </c>
      <c r="BK33" s="4">
        <f t="shared" si="97"/>
        <v>0.11490649968226307</v>
      </c>
      <c r="BL33" s="4">
        <f t="shared" si="97"/>
        <v>0.14999999999999991</v>
      </c>
      <c r="BM33" s="4">
        <f t="shared" si="97"/>
        <v>0.12999999999999989</v>
      </c>
      <c r="BN33" s="4">
        <f t="shared" si="97"/>
        <v>0.12000000000000011</v>
      </c>
      <c r="BO33" s="4">
        <f t="shared" si="97"/>
        <v>0.12000000000000011</v>
      </c>
      <c r="BP33" s="4">
        <f t="shared" si="97"/>
        <v>0.12000000000000011</v>
      </c>
      <c r="BQ33" s="4">
        <f t="shared" si="97"/>
        <v>0.10000000000000009</v>
      </c>
      <c r="BR33" s="4">
        <f t="shared" si="94"/>
        <v>0.10000000000000009</v>
      </c>
      <c r="BS33" s="4">
        <f t="shared" si="95"/>
        <v>0.10000000000000009</v>
      </c>
    </row>
    <row r="34" spans="1:71">
      <c r="B34" s="1" t="s">
        <v>48</v>
      </c>
      <c r="G34" s="4"/>
      <c r="H34" s="4"/>
      <c r="I34" s="4"/>
      <c r="J34" s="4"/>
      <c r="K34" s="4"/>
      <c r="L34" s="4"/>
      <c r="M34" s="4"/>
      <c r="N34" s="4"/>
      <c r="O34" s="4"/>
      <c r="P34" s="4"/>
      <c r="Q34" s="4"/>
      <c r="R34" s="4"/>
      <c r="S34" s="4"/>
      <c r="T34" s="4"/>
      <c r="U34" s="4"/>
      <c r="V34" s="4"/>
      <c r="W34" s="4"/>
      <c r="X34" s="4"/>
      <c r="Y34" s="4"/>
      <c r="Z34" s="4">
        <f t="shared" ref="Z34:AJ36" si="98">+Z5/V5-1</f>
        <v>0.15040362554878905</v>
      </c>
      <c r="AA34" s="4">
        <f t="shared" si="98"/>
        <v>0.10949868073878632</v>
      </c>
      <c r="AB34" s="4">
        <f t="shared" si="98"/>
        <v>0.10092206643930779</v>
      </c>
      <c r="AC34" s="4">
        <f t="shared" si="98"/>
        <v>9.2660775650466265E-2</v>
      </c>
      <c r="AD34" s="4">
        <f t="shared" si="98"/>
        <v>-0.85756493906192288</v>
      </c>
      <c r="AE34" s="4">
        <f t="shared" si="98"/>
        <v>0.13067776456599289</v>
      </c>
      <c r="AF34" s="4">
        <f t="shared" si="98"/>
        <v>0.22567691601652129</v>
      </c>
      <c r="AG34" s="4">
        <f t="shared" si="98"/>
        <v>0.14231158036616876</v>
      </c>
      <c r="AH34" s="4">
        <f t="shared" si="98"/>
        <v>11.665514261019879</v>
      </c>
      <c r="AI34" s="4">
        <f t="shared" si="98"/>
        <v>0.24345357030181924</v>
      </c>
      <c r="AJ34" s="4">
        <f t="shared" si="98"/>
        <v>0.19545071609098574</v>
      </c>
      <c r="AK34" s="4">
        <f t="shared" si="91"/>
        <v>0.40914454277286127</v>
      </c>
      <c r="AL34" s="4">
        <f t="shared" si="92"/>
        <v>0.17974614439743419</v>
      </c>
      <c r="BD34" s="4"/>
      <c r="BE34" s="4"/>
      <c r="BF34" s="4">
        <f>+BF5/BE6-1</f>
        <v>0.35587238848108416</v>
      </c>
      <c r="BG34" s="4">
        <f t="shared" ref="BG34:BQ34" si="99">+BG5/BF5-1</f>
        <v>0.31218115564810001</v>
      </c>
      <c r="BH34" s="4">
        <f t="shared" si="99"/>
        <v>0.2361645574641964</v>
      </c>
      <c r="BI34" s="4">
        <f t="shared" si="99"/>
        <v>0.21113607188703476</v>
      </c>
      <c r="BJ34" s="4">
        <f t="shared" si="99"/>
        <v>0.24290521741434601</v>
      </c>
      <c r="BK34" s="4">
        <f t="shared" si="99"/>
        <v>0.19843943205560066</v>
      </c>
      <c r="BL34" s="4">
        <f t="shared" si="99"/>
        <v>0.19999999999999996</v>
      </c>
      <c r="BM34" s="4">
        <f t="shared" si="99"/>
        <v>0.19999999999999996</v>
      </c>
      <c r="BN34" s="4">
        <f t="shared" si="99"/>
        <v>0.19999999999999996</v>
      </c>
      <c r="BO34" s="4">
        <f t="shared" si="99"/>
        <v>0.19999999999999996</v>
      </c>
      <c r="BP34" s="4">
        <f t="shared" si="99"/>
        <v>0.19999999999999996</v>
      </c>
      <c r="BQ34" s="4">
        <f t="shared" si="99"/>
        <v>0.19999999999999996</v>
      </c>
      <c r="BR34" s="4">
        <f t="shared" si="94"/>
        <v>0.19999999999999996</v>
      </c>
      <c r="BS34" s="4">
        <f t="shared" si="95"/>
        <v>0.19999999999999996</v>
      </c>
    </row>
    <row r="35" spans="1:71">
      <c r="B35" s="1" t="s">
        <v>49</v>
      </c>
      <c r="G35" s="4"/>
      <c r="H35" s="4"/>
      <c r="I35" s="4"/>
      <c r="J35" s="4"/>
      <c r="K35" s="4"/>
      <c r="L35" s="4"/>
      <c r="M35" s="4"/>
      <c r="N35" s="4"/>
      <c r="O35" s="4"/>
      <c r="P35" s="4"/>
      <c r="Q35" s="4"/>
      <c r="R35" s="4"/>
      <c r="S35" s="4">
        <f>+S6/O6-1</f>
        <v>0.27959465684016571</v>
      </c>
      <c r="T35" s="4">
        <f>+T6/P6-1</f>
        <v>0.28699743370402042</v>
      </c>
      <c r="U35" s="4"/>
      <c r="V35" s="4"/>
      <c r="W35" s="4">
        <f t="shared" ref="W35:Y36" si="100">+W6/S6-1</f>
        <v>0.14848812095032393</v>
      </c>
      <c r="X35" s="4">
        <f t="shared" si="100"/>
        <v>0.23811897640412094</v>
      </c>
      <c r="Y35" s="4">
        <f t="shared" si="100"/>
        <v>0.15824710894704808</v>
      </c>
      <c r="Z35" s="4">
        <f t="shared" si="98"/>
        <v>0.32190476190476192</v>
      </c>
      <c r="AA35" s="4">
        <f t="shared" si="98"/>
        <v>0.23444601159692846</v>
      </c>
      <c r="AB35" s="4">
        <f t="shared" si="98"/>
        <v>0.17527848610924712</v>
      </c>
      <c r="AC35" s="4">
        <f t="shared" si="98"/>
        <v>0.25433526011560703</v>
      </c>
      <c r="AD35" s="4">
        <f t="shared" si="98"/>
        <v>-5.4240428159736509E-2</v>
      </c>
      <c r="AE35" s="4">
        <f t="shared" si="98"/>
        <v>0.22597435571918245</v>
      </c>
      <c r="AF35" s="4">
        <f t="shared" si="98"/>
        <v>0.12983898595409382</v>
      </c>
      <c r="AG35" s="4">
        <f t="shared" si="98"/>
        <v>0.26309174696271476</v>
      </c>
      <c r="AH35" s="4">
        <f t="shared" si="98"/>
        <v>0.14136467515507678</v>
      </c>
      <c r="AI35" s="4">
        <f t="shared" si="98"/>
        <v>0.1102826964895931</v>
      </c>
      <c r="AJ35" s="4">
        <f t="shared" si="98"/>
        <v>9.824135839902981E-2</v>
      </c>
      <c r="AK35" s="4">
        <f t="shared" si="91"/>
        <v>-6.4842454394693161E-2</v>
      </c>
      <c r="AL35" s="4">
        <f t="shared" si="92"/>
        <v>9.7254004576659003E-2</v>
      </c>
      <c r="BD35" s="4"/>
      <c r="BE35" s="4">
        <f>+BE7/BD6-1</f>
        <v>1.639131776566197</v>
      </c>
      <c r="BF35" s="4">
        <f>+BF6/BE7-1</f>
        <v>-0.5078931982069772</v>
      </c>
      <c r="BG35" s="4">
        <f t="shared" ref="BG35:BQ35" si="101">+BG6/BF6-1</f>
        <v>0.56617821782178224</v>
      </c>
      <c r="BH35" s="4">
        <f t="shared" si="101"/>
        <v>0.60663531077732258</v>
      </c>
      <c r="BI35" s="4">
        <f t="shared" si="101"/>
        <v>0.10859984890455809</v>
      </c>
      <c r="BJ35" s="4">
        <f t="shared" si="101"/>
        <v>0.14171730365154178</v>
      </c>
      <c r="BK35" s="4">
        <f t="shared" si="101"/>
        <v>0.10358377477679137</v>
      </c>
      <c r="BL35" s="4">
        <f t="shared" si="101"/>
        <v>0.1100000000000001</v>
      </c>
      <c r="BM35" s="4">
        <f t="shared" si="101"/>
        <v>0.10000000000000009</v>
      </c>
      <c r="BN35" s="4">
        <f t="shared" si="101"/>
        <v>0.10000000000000009</v>
      </c>
      <c r="BO35" s="4">
        <f t="shared" si="101"/>
        <v>0.10000000000000009</v>
      </c>
      <c r="BP35" s="4">
        <f t="shared" si="101"/>
        <v>0.10000000000000009</v>
      </c>
      <c r="BQ35" s="4">
        <f t="shared" si="101"/>
        <v>0.10000000000000009</v>
      </c>
      <c r="BR35" s="4">
        <f t="shared" si="94"/>
        <v>0.10000000000000009</v>
      </c>
      <c r="BS35" s="4">
        <f t="shared" si="95"/>
        <v>0.10000000000000009</v>
      </c>
    </row>
    <row r="36" spans="1:71">
      <c r="B36" s="1" t="s">
        <v>50</v>
      </c>
      <c r="G36" s="4"/>
      <c r="H36" s="4"/>
      <c r="I36" s="4"/>
      <c r="J36" s="4"/>
      <c r="K36" s="4"/>
      <c r="L36" s="4"/>
      <c r="M36" s="4"/>
      <c r="N36" s="4"/>
      <c r="O36" s="4"/>
      <c r="P36" s="4"/>
      <c r="Q36" s="4"/>
      <c r="R36" s="4"/>
      <c r="S36" s="4">
        <f>+S7/O7-1</f>
        <v>0.32783264033264037</v>
      </c>
      <c r="T36" s="4">
        <f>+T7/P7-1</f>
        <v>0.28958358191146649</v>
      </c>
      <c r="U36" s="4"/>
      <c r="V36" s="4"/>
      <c r="W36" s="4">
        <f t="shared" si="100"/>
        <v>0.32136216850963883</v>
      </c>
      <c r="X36" s="4">
        <f t="shared" si="100"/>
        <v>0.37018874907475952</v>
      </c>
      <c r="Y36" s="4">
        <f t="shared" si="100"/>
        <v>0.3886733902249806</v>
      </c>
      <c r="Z36" s="4">
        <f t="shared" si="98"/>
        <v>-0.86030450478731757</v>
      </c>
      <c r="AA36" s="4">
        <f t="shared" si="98"/>
        <v>0.36569651188624741</v>
      </c>
      <c r="AB36" s="4">
        <f t="shared" si="98"/>
        <v>0.33655209669795405</v>
      </c>
      <c r="AC36" s="4">
        <f t="shared" si="98"/>
        <v>0.27486033519553077</v>
      </c>
      <c r="AD36" s="4">
        <f t="shared" si="98"/>
        <v>11.010112359550561</v>
      </c>
      <c r="AE36" s="4">
        <f t="shared" si="98"/>
        <v>0.157963234097934</v>
      </c>
      <c r="AF36" s="4">
        <f t="shared" si="98"/>
        <v>0.11857727479411917</v>
      </c>
      <c r="AG36" s="4">
        <f t="shared" si="98"/>
        <v>0.1227480767358069</v>
      </c>
      <c r="AH36" s="4">
        <f t="shared" si="98"/>
        <v>0.13219197305641317</v>
      </c>
      <c r="AI36" s="4">
        <f t="shared" si="98"/>
        <v>0.17247354125690739</v>
      </c>
      <c r="AJ36" s="4">
        <f t="shared" si="98"/>
        <v>0.18703703703703711</v>
      </c>
      <c r="AK36" s="4">
        <f t="shared" si="91"/>
        <v>0.1905112971074201</v>
      </c>
      <c r="AL36" s="4">
        <f t="shared" si="92"/>
        <v>0.189307552470666</v>
      </c>
      <c r="BD36" s="4"/>
      <c r="BE36" s="4">
        <f>+BE8/BD7-1</f>
        <v>-0.4210435878343548</v>
      </c>
      <c r="BF36" s="4">
        <f>+BF7/BE8-1</f>
        <v>2.4651760981400872</v>
      </c>
      <c r="BG36" s="4">
        <f t="shared" ref="BG36:BQ36" si="102">+BG7/BF7-1</f>
        <v>0.29532347399074976</v>
      </c>
      <c r="BH36" s="4">
        <f t="shared" si="102"/>
        <v>0.37099404893101173</v>
      </c>
      <c r="BI36" s="4">
        <f t="shared" si="102"/>
        <v>0.28767563743931057</v>
      </c>
      <c r="BJ36" s="4">
        <f t="shared" si="102"/>
        <v>0.13310277666799841</v>
      </c>
      <c r="BK36" s="4">
        <f t="shared" si="102"/>
        <v>0.18509867007503544</v>
      </c>
      <c r="BL36" s="4">
        <f t="shared" si="102"/>
        <v>0.17999999999999994</v>
      </c>
      <c r="BM36" s="4">
        <f t="shared" si="102"/>
        <v>0.17999999999999994</v>
      </c>
      <c r="BN36" s="4">
        <f t="shared" si="102"/>
        <v>0.16999999999999993</v>
      </c>
      <c r="BO36" s="4">
        <f t="shared" si="102"/>
        <v>0.16999999999999993</v>
      </c>
      <c r="BP36" s="4">
        <f t="shared" si="102"/>
        <v>0.16999999999999993</v>
      </c>
      <c r="BQ36" s="4">
        <f t="shared" si="102"/>
        <v>5.0000000000000044E-2</v>
      </c>
      <c r="BR36" s="4">
        <f t="shared" si="94"/>
        <v>5.0000000000000044E-2</v>
      </c>
      <c r="BS36" s="4">
        <f t="shared" si="95"/>
        <v>5.0000000000000044E-2</v>
      </c>
    </row>
    <row r="37" spans="1:71">
      <c r="A37" s="2"/>
      <c r="B37" s="2" t="s">
        <v>51</v>
      </c>
      <c r="C37" s="2"/>
      <c r="D37" s="2"/>
      <c r="E37" s="2"/>
      <c r="F37" s="2"/>
      <c r="G37" s="10"/>
      <c r="H37" s="10"/>
      <c r="I37" s="10"/>
      <c r="J37" s="10"/>
      <c r="K37" s="10"/>
      <c r="L37" s="10"/>
      <c r="M37" s="10"/>
      <c r="N37" s="10"/>
      <c r="O37" s="10"/>
      <c r="P37" s="10"/>
      <c r="Q37" s="10"/>
      <c r="R37" s="10"/>
      <c r="S37" s="10">
        <f>+S10/O10-1</f>
        <v>0.26385259631490787</v>
      </c>
      <c r="T37" s="10">
        <f>+T10/P10-1</f>
        <v>0.40230900258658764</v>
      </c>
      <c r="U37" s="10"/>
      <c r="V37" s="10"/>
      <c r="W37" s="10">
        <f t="shared" ref="W37:AJ37" si="103">+W10/S10-1</f>
        <v>0.43823888034777081</v>
      </c>
      <c r="X37" s="10">
        <f t="shared" si="103"/>
        <v>0.27181932697498645</v>
      </c>
      <c r="Y37" s="10">
        <f t="shared" si="103"/>
        <v>0.15255083467679031</v>
      </c>
      <c r="Z37" s="10">
        <f t="shared" si="103"/>
        <v>-3.2997491139341362E-2</v>
      </c>
      <c r="AA37" s="10">
        <f t="shared" si="103"/>
        <v>7.3038574245747334E-2</v>
      </c>
      <c r="AB37" s="10">
        <f t="shared" si="103"/>
        <v>7.285107888220721E-2</v>
      </c>
      <c r="AC37" s="10">
        <f t="shared" si="103"/>
        <v>0.14699671515720314</v>
      </c>
      <c r="AD37" s="10">
        <f t="shared" si="103"/>
        <v>0.14324778440351871</v>
      </c>
      <c r="AE37" s="10">
        <f t="shared" si="103"/>
        <v>9.3727456975026602E-2</v>
      </c>
      <c r="AF37" s="10">
        <f t="shared" si="103"/>
        <v>0.10769218088000132</v>
      </c>
      <c r="AG37" s="10">
        <f t="shared" si="103"/>
        <v>0.125742519728405</v>
      </c>
      <c r="AH37" s="10">
        <f t="shared" si="103"/>
        <v>0.22446759459381571</v>
      </c>
      <c r="AI37" s="10">
        <f t="shared" si="103"/>
        <v>0.12527677884388888</v>
      </c>
      <c r="AJ37" s="10">
        <f t="shared" si="103"/>
        <v>0.10115862869559389</v>
      </c>
      <c r="AK37" s="10">
        <f t="shared" ref="AK37" si="104">+AK10/AG10-1</f>
        <v>0.11038348371225104</v>
      </c>
      <c r="AL37" s="10">
        <f t="shared" ref="AL37" si="105">+AL10/AH10-1</f>
        <v>0.10491230341078239</v>
      </c>
      <c r="AM37" s="2"/>
      <c r="AN37" s="2"/>
      <c r="AO37" s="2"/>
      <c r="AP37" s="2"/>
      <c r="AQ37" s="2"/>
      <c r="AR37" s="2"/>
      <c r="AS37" s="2"/>
      <c r="AT37" s="2"/>
      <c r="AU37" s="10">
        <f t="shared" ref="AU37" si="106">+AU10/AT10-1</f>
        <v>0.29194472531176263</v>
      </c>
      <c r="AV37" s="10">
        <f t="shared" ref="AV37" si="107">+AV10/AU10-1</f>
        <v>0.27877491391004905</v>
      </c>
      <c r="AW37" s="10">
        <f t="shared" ref="AW37" si="108">+AW10/AV10-1</f>
        <v>0.39556897466236896</v>
      </c>
      <c r="AX37" s="10">
        <f t="shared" ref="AX37" si="109">+AX10/AW10-1</f>
        <v>0.40559583674424049</v>
      </c>
      <c r="AY37" s="10">
        <f t="shared" ref="AY37" si="110">+AY10/AX10-1</f>
        <v>0.27073236682821311</v>
      </c>
      <c r="AZ37" s="10">
        <f t="shared" ref="AZ37" si="111">+AZ10/AY10-1</f>
        <v>0.21866662301736706</v>
      </c>
      <c r="BA37" s="10">
        <f t="shared" ref="BA37" si="112">+BA10/AZ10-1</f>
        <v>0.1952398861011122</v>
      </c>
      <c r="BB37" s="10">
        <f t="shared" ref="BB37" si="113">+BB10/BA10-1</f>
        <v>0.20247673843664304</v>
      </c>
      <c r="BC37" s="10">
        <f t="shared" ref="BC37" si="114">+BC10/BB10-1</f>
        <v>0.27083528026465808</v>
      </c>
      <c r="BD37" s="10">
        <f t="shared" ref="BD37" si="115">+BD10/BC10-1</f>
        <v>0.30796326119408479</v>
      </c>
      <c r="BE37" s="10">
        <f t="shared" ref="BE37:BQ37" si="116">+BE10/BD10-1</f>
        <v>0.3093396152159491</v>
      </c>
      <c r="BF37" s="10">
        <f t="shared" si="116"/>
        <v>0.20454125820676983</v>
      </c>
      <c r="BG37" s="10">
        <f t="shared" si="116"/>
        <v>0.37623430604373276</v>
      </c>
      <c r="BH37" s="10">
        <f t="shared" si="116"/>
        <v>0.21695366571345676</v>
      </c>
      <c r="BI37" s="10">
        <f t="shared" si="116"/>
        <v>9.399517263985091E-2</v>
      </c>
      <c r="BJ37" s="10">
        <f t="shared" si="116"/>
        <v>0.1182957412988368</v>
      </c>
      <c r="BK37" s="10">
        <f t="shared" si="116"/>
        <v>0.1099089224666614</v>
      </c>
      <c r="BL37" s="10">
        <f t="shared" si="116"/>
        <v>0.10905961041383549</v>
      </c>
      <c r="BM37" s="10">
        <f t="shared" si="116"/>
        <v>0.11727366010220042</v>
      </c>
      <c r="BN37" s="10">
        <f t="shared" si="116"/>
        <v>0.11508184534579313</v>
      </c>
      <c r="BO37" s="10">
        <f t="shared" si="116"/>
        <v>0.1154669149383396</v>
      </c>
      <c r="BP37" s="10">
        <f t="shared" si="116"/>
        <v>0.11773040703663273</v>
      </c>
      <c r="BQ37" s="10">
        <f t="shared" si="116"/>
        <v>8.5341589509824622E-2</v>
      </c>
      <c r="BR37" s="10">
        <f t="shared" ref="BR37" si="117">+BR10/BQ10-1</f>
        <v>8.7577914064984386E-2</v>
      </c>
      <c r="BS37" s="10">
        <f t="shared" ref="BS37" si="118">+BS10/BR10-1</f>
        <v>8.9947956362490311E-2</v>
      </c>
    </row>
    <row r="38" spans="1:71">
      <c r="B38" s="1" t="s">
        <v>52</v>
      </c>
      <c r="G38" s="4"/>
      <c r="H38" s="4"/>
      <c r="I38" s="4"/>
      <c r="J38" s="4"/>
      <c r="K38" s="4"/>
      <c r="L38" s="4"/>
      <c r="M38" s="4"/>
      <c r="N38" s="4"/>
      <c r="O38" s="4"/>
      <c r="P38" s="4"/>
      <c r="Q38" s="4"/>
      <c r="R38" s="4"/>
      <c r="S38" s="4">
        <f t="shared" ref="S38" si="119">+S26/O26-1</f>
        <v>-0.2937488137297668</v>
      </c>
      <c r="T38" s="4">
        <f t="shared" ref="T38" si="120">+T26/P26-1</f>
        <v>0.9737891290111329</v>
      </c>
      <c r="U38" s="4"/>
      <c r="V38" s="4"/>
      <c r="W38" s="4"/>
      <c r="X38" s="4"/>
      <c r="Y38" s="4"/>
      <c r="Z38" s="4">
        <f t="shared" ref="Z38" si="121">+Z26/V26-1</f>
        <v>-1.230857103295486</v>
      </c>
      <c r="AA38" s="4"/>
      <c r="AB38" s="4"/>
      <c r="AC38" s="4">
        <f t="shared" ref="AC38" si="122">+AC26/Y26-1</f>
        <v>-9.177026236391661E-2</v>
      </c>
      <c r="AD38" s="4">
        <f t="shared" ref="AD38" si="123">+AD26/Z26-1</f>
        <v>5.050565654756574</v>
      </c>
      <c r="AE38" s="4">
        <f t="shared" ref="AE38:AH38" si="124">+AE26/AA26-1</f>
        <v>-1.8118189533567715</v>
      </c>
      <c r="AF38" s="4">
        <f t="shared" si="124"/>
        <v>-4.4067088056808306</v>
      </c>
      <c r="AG38" s="4">
        <f t="shared" si="124"/>
        <v>2.3636565884513701</v>
      </c>
      <c r="AH38" s="4">
        <f t="shared" si="124"/>
        <v>-2.0184115942783727</v>
      </c>
      <c r="AI38" s="4">
        <f>+AI26/AE26-1</f>
        <v>2.2159135464112594</v>
      </c>
      <c r="AJ38" s="4">
        <f t="shared" ref="AJ38" si="125">+AJ26/AF26-1</f>
        <v>0.94686066691304882</v>
      </c>
      <c r="AK38" s="4">
        <f t="shared" ref="AK38" si="126">+AK26/AG26-1</f>
        <v>0.52567242607157683</v>
      </c>
      <c r="AL38" s="4">
        <f t="shared" ref="AL38" si="127">+AL26/AH26-1</f>
        <v>1.6783697289156629</v>
      </c>
      <c r="BD38" s="4"/>
      <c r="BE38" s="4">
        <f t="shared" ref="BE38:BH38" si="128">+BE26/BD26-1</f>
        <v>2.274638311902407</v>
      </c>
      <c r="BF38" s="4">
        <f t="shared" si="128"/>
        <v>0.37645978011311065</v>
      </c>
      <c r="BG38" s="4">
        <f t="shared" si="128"/>
        <v>0.50830330987575345</v>
      </c>
      <c r="BH38" s="4">
        <f t="shared" si="128"/>
        <v>0.54933903937701234</v>
      </c>
      <c r="BI38" s="4">
        <f>+BI26/BH26-1</f>
        <v>-1.0823607205118229</v>
      </c>
      <c r="BJ38" s="4">
        <f t="shared" ref="BJ38:BQ38" si="129">+BJ26/BI26-1</f>
        <v>-11.870910420268716</v>
      </c>
      <c r="BK38" s="4">
        <f t="shared" si="129"/>
        <v>0.90499936967362382</v>
      </c>
      <c r="BL38" s="4">
        <f t="shared" si="129"/>
        <v>2.506863285842531E-2</v>
      </c>
      <c r="BM38" s="4">
        <f t="shared" si="129"/>
        <v>0.37380280315806202</v>
      </c>
      <c r="BN38" s="4">
        <f t="shared" si="129"/>
        <v>0.34406538035110934</v>
      </c>
      <c r="BO38" s="4">
        <f t="shared" si="129"/>
        <v>0.33202526070641869</v>
      </c>
      <c r="BP38" s="4">
        <f t="shared" si="129"/>
        <v>0.28021515875024083</v>
      </c>
      <c r="BQ38" s="4">
        <f t="shared" si="129"/>
        <v>0.20633149579076449</v>
      </c>
      <c r="BR38" s="4">
        <f t="shared" ref="BR38" si="130">+BR26/BQ26-1</f>
        <v>0.20198546510097937</v>
      </c>
      <c r="BS38" s="4">
        <f t="shared" ref="BS38" si="131">+BS26/BR26-1</f>
        <v>0.19829839108845881</v>
      </c>
    </row>
    <row r="40" spans="1:71">
      <c r="B40" s="1" t="s">
        <v>38</v>
      </c>
      <c r="C40" s="3"/>
      <c r="D40" s="3"/>
      <c r="E40" s="3"/>
      <c r="F40" s="3"/>
      <c r="G40" s="3"/>
      <c r="H40" s="3"/>
      <c r="I40" s="3"/>
      <c r="J40" s="3"/>
      <c r="K40" s="3"/>
      <c r="L40" s="3"/>
      <c r="M40" s="3"/>
      <c r="N40" s="3"/>
      <c r="O40" s="3">
        <v>1846</v>
      </c>
      <c r="P40" s="3">
        <v>9118</v>
      </c>
      <c r="Q40" s="3"/>
      <c r="R40" s="3"/>
      <c r="S40" s="3">
        <v>3064</v>
      </c>
      <c r="T40" s="3">
        <v>20606</v>
      </c>
      <c r="U40" s="3">
        <v>11964</v>
      </c>
      <c r="V40" s="3">
        <v>30430</v>
      </c>
      <c r="W40" s="3"/>
      <c r="X40" s="3"/>
      <c r="Y40" s="3">
        <v>7313</v>
      </c>
      <c r="Z40" s="3">
        <v>22086</v>
      </c>
      <c r="AA40" s="3">
        <v>-2790</v>
      </c>
      <c r="AB40" s="3">
        <v>8965</v>
      </c>
      <c r="AC40" s="3">
        <v>11404</v>
      </c>
      <c r="AD40" s="3">
        <v>29173</v>
      </c>
      <c r="AE40" s="3">
        <v>4788</v>
      </c>
      <c r="AF40" s="3">
        <v>16476</v>
      </c>
      <c r="AG40" s="3">
        <v>21217</v>
      </c>
      <c r="AH40" s="3">
        <v>42465</v>
      </c>
      <c r="AI40" s="3">
        <v>18989</v>
      </c>
      <c r="AJ40" s="3">
        <v>25281</v>
      </c>
      <c r="AK40" s="3">
        <v>25971</v>
      </c>
      <c r="AL40" s="3">
        <v>45636</v>
      </c>
      <c r="AT40" s="20">
        <v>1405</v>
      </c>
      <c r="AU40" s="20">
        <v>1697</v>
      </c>
      <c r="AV40" s="20">
        <v>3293</v>
      </c>
      <c r="AW40" s="20">
        <v>3495</v>
      </c>
      <c r="AX40" s="20">
        <v>3903</v>
      </c>
      <c r="AY40" s="20">
        <v>4180</v>
      </c>
      <c r="AZ40" s="20">
        <v>5475</v>
      </c>
      <c r="BA40" s="20">
        <v>6842</v>
      </c>
      <c r="BB40" s="20">
        <v>12039</v>
      </c>
      <c r="BC40" s="20">
        <v>17203</v>
      </c>
      <c r="BD40" s="3">
        <v>18365</v>
      </c>
      <c r="BE40" s="3">
        <v>30723</v>
      </c>
      <c r="BF40" s="3">
        <v>38514</v>
      </c>
      <c r="BG40" s="3">
        <v>66064</v>
      </c>
      <c r="BH40" s="3">
        <v>46327</v>
      </c>
      <c r="BI40" s="3">
        <v>46752</v>
      </c>
      <c r="BJ40" s="3">
        <v>84946</v>
      </c>
      <c r="BK40" s="3">
        <v>115877</v>
      </c>
      <c r="BL40" s="3"/>
      <c r="BM40" s="3"/>
      <c r="BN40" s="3"/>
      <c r="BO40" s="3"/>
      <c r="BP40" s="3"/>
      <c r="BQ40" s="3"/>
    </row>
    <row r="41" spans="1:71">
      <c r="B41" s="1" t="s">
        <v>39</v>
      </c>
      <c r="C41" s="3"/>
      <c r="D41" s="3"/>
      <c r="E41" s="3"/>
      <c r="F41" s="3"/>
      <c r="G41" s="3"/>
      <c r="H41" s="3"/>
      <c r="I41" s="3"/>
      <c r="J41" s="3"/>
      <c r="K41" s="3"/>
      <c r="L41" s="3"/>
      <c r="M41" s="3"/>
      <c r="N41" s="3"/>
      <c r="O41" s="3">
        <v>3290</v>
      </c>
      <c r="P41" s="3">
        <v>3562</v>
      </c>
      <c r="Q41" s="3"/>
      <c r="R41" s="3"/>
      <c r="S41" s="3">
        <v>6795</v>
      </c>
      <c r="T41" s="3">
        <v>7459</v>
      </c>
      <c r="U41" s="3">
        <v>11063</v>
      </c>
      <c r="V41" s="3">
        <v>14824</v>
      </c>
      <c r="W41" s="3"/>
      <c r="X41" s="3"/>
      <c r="Y41" s="3">
        <v>15748</v>
      </c>
      <c r="Z41" s="3">
        <v>18935</v>
      </c>
      <c r="AA41" s="3">
        <v>14951</v>
      </c>
      <c r="AB41" s="3">
        <v>15724</v>
      </c>
      <c r="AC41" s="3">
        <v>16378</v>
      </c>
      <c r="AD41" s="3">
        <v>16592</v>
      </c>
      <c r="AE41" s="3">
        <v>14925</v>
      </c>
      <c r="AF41" s="3">
        <v>11455</v>
      </c>
      <c r="AG41" s="3">
        <v>12479</v>
      </c>
      <c r="AH41" s="3">
        <v>14588</v>
      </c>
      <c r="AI41" s="3">
        <v>14207</v>
      </c>
      <c r="AJ41" s="3">
        <v>17620</v>
      </c>
      <c r="AK41" s="3">
        <v>22620</v>
      </c>
      <c r="AL41" s="3">
        <v>27834</v>
      </c>
      <c r="BA41" s="20">
        <v>4893</v>
      </c>
      <c r="BB41" s="20">
        <v>5387</v>
      </c>
      <c r="BC41" s="20">
        <v>7804</v>
      </c>
      <c r="BD41" s="3">
        <v>11955</v>
      </c>
      <c r="BE41" s="3">
        <v>13427</v>
      </c>
      <c r="BF41" s="3">
        <v>16861</v>
      </c>
      <c r="BG41" s="3">
        <v>40140</v>
      </c>
      <c r="BH41" s="3">
        <v>61053</v>
      </c>
      <c r="BI41" s="3">
        <v>63645</v>
      </c>
      <c r="BJ41" s="3">
        <v>52729</v>
      </c>
      <c r="BK41" s="3">
        <v>82999</v>
      </c>
      <c r="BL41" s="3"/>
      <c r="BM41" s="3"/>
      <c r="BN41" s="3"/>
      <c r="BO41" s="3"/>
      <c r="BP41" s="3"/>
      <c r="BQ41" s="3"/>
    </row>
    <row r="42" spans="1:71">
      <c r="B42" s="1" t="s">
        <v>40</v>
      </c>
      <c r="C42" s="3"/>
      <c r="D42" s="3"/>
      <c r="E42" s="3"/>
      <c r="F42" s="3"/>
      <c r="G42" s="3"/>
      <c r="H42" s="3"/>
      <c r="I42" s="3"/>
      <c r="J42" s="3"/>
      <c r="K42" s="3"/>
      <c r="L42" s="3"/>
      <c r="M42" s="3"/>
      <c r="N42" s="3"/>
      <c r="O42" s="3">
        <v>1274</v>
      </c>
      <c r="P42" s="3">
        <v>1971</v>
      </c>
      <c r="Q42" s="3"/>
      <c r="R42" s="3"/>
      <c r="S42" s="3">
        <v>1757</v>
      </c>
      <c r="T42" s="3">
        <v>2601</v>
      </c>
      <c r="U42" s="3">
        <v>2288</v>
      </c>
      <c r="V42" s="3">
        <v>2562</v>
      </c>
      <c r="W42" s="3">
        <v>2306</v>
      </c>
      <c r="X42" s="3">
        <v>3591</v>
      </c>
      <c r="Y42" s="3">
        <v>3180</v>
      </c>
      <c r="Z42" s="3">
        <v>3680</v>
      </c>
      <c r="AA42" s="3">
        <v>3250</v>
      </c>
      <c r="AB42" s="3">
        <v>5209</v>
      </c>
      <c r="AC42" s="3">
        <v>5556</v>
      </c>
      <c r="AD42" s="3">
        <v>5606</v>
      </c>
      <c r="AE42" s="3">
        <v>4748</v>
      </c>
      <c r="AF42" s="3">
        <v>7127</v>
      </c>
      <c r="AG42" s="3">
        <v>5829</v>
      </c>
      <c r="AH42" s="3">
        <v>6319</v>
      </c>
      <c r="AI42" s="3">
        <v>4961</v>
      </c>
      <c r="AJ42" s="3">
        <v>6722</v>
      </c>
      <c r="AK42" s="3">
        <v>5333</v>
      </c>
      <c r="AL42" s="3">
        <v>4995</v>
      </c>
      <c r="BC42" s="3"/>
      <c r="BD42" s="3">
        <v>4215</v>
      </c>
      <c r="BE42" s="3">
        <v>5418</v>
      </c>
      <c r="BF42" s="3">
        <v>6864</v>
      </c>
      <c r="BG42" s="3">
        <v>9208</v>
      </c>
      <c r="BH42" s="3">
        <v>12757</v>
      </c>
      <c r="BI42" s="3">
        <v>19621</v>
      </c>
      <c r="BJ42" s="3">
        <v>24023</v>
      </c>
      <c r="BK42" s="3">
        <v>22011</v>
      </c>
      <c r="BL42" s="3"/>
      <c r="BM42" s="3"/>
      <c r="BN42" s="3"/>
      <c r="BO42" s="3"/>
      <c r="BP42" s="3"/>
      <c r="BQ42" s="3"/>
    </row>
    <row r="43" spans="1:71">
      <c r="B43" s="1" t="s">
        <v>42</v>
      </c>
      <c r="C43" s="3">
        <f t="shared" ref="C43:Y43" si="132">+C40-C41-C42</f>
        <v>0</v>
      </c>
      <c r="D43" s="3">
        <f t="shared" si="132"/>
        <v>0</v>
      </c>
      <c r="E43" s="3">
        <f t="shared" si="132"/>
        <v>0</v>
      </c>
      <c r="F43" s="3">
        <f t="shared" si="132"/>
        <v>0</v>
      </c>
      <c r="G43" s="3">
        <f t="shared" si="132"/>
        <v>0</v>
      </c>
      <c r="H43" s="3">
        <f t="shared" si="132"/>
        <v>0</v>
      </c>
      <c r="I43" s="3">
        <f t="shared" si="132"/>
        <v>0</v>
      </c>
      <c r="J43" s="3">
        <f t="shared" si="132"/>
        <v>0</v>
      </c>
      <c r="K43" s="3">
        <f t="shared" si="132"/>
        <v>0</v>
      </c>
      <c r="L43" s="3">
        <f t="shared" si="132"/>
        <v>0</v>
      </c>
      <c r="M43" s="3">
        <f t="shared" si="132"/>
        <v>0</v>
      </c>
      <c r="N43" s="3">
        <f t="shared" si="132"/>
        <v>0</v>
      </c>
      <c r="O43" s="3">
        <f t="shared" si="132"/>
        <v>-2718</v>
      </c>
      <c r="P43" s="3">
        <f t="shared" si="132"/>
        <v>3585</v>
      </c>
      <c r="Q43" s="3">
        <f t="shared" si="132"/>
        <v>0</v>
      </c>
      <c r="R43" s="3">
        <f t="shared" si="132"/>
        <v>0</v>
      </c>
      <c r="S43" s="3">
        <f t="shared" si="132"/>
        <v>-5488</v>
      </c>
      <c r="T43" s="3">
        <f t="shared" si="132"/>
        <v>10546</v>
      </c>
      <c r="U43" s="3">
        <f t="shared" si="132"/>
        <v>-1387</v>
      </c>
      <c r="V43" s="3">
        <f t="shared" si="132"/>
        <v>13044</v>
      </c>
      <c r="W43" s="3">
        <f t="shared" si="132"/>
        <v>-2306</v>
      </c>
      <c r="X43" s="3">
        <f t="shared" si="132"/>
        <v>-3591</v>
      </c>
      <c r="Y43" s="3">
        <f t="shared" si="132"/>
        <v>-11615</v>
      </c>
      <c r="Z43" s="3">
        <f t="shared" ref="Z43" si="133">+Z40-Z41-Z42</f>
        <v>-529</v>
      </c>
      <c r="AA43" s="3">
        <f t="shared" ref="AA43:AG43" si="134">+AA40-AA41-AA42</f>
        <v>-20991</v>
      </c>
      <c r="AB43" s="3">
        <f t="shared" si="134"/>
        <v>-11968</v>
      </c>
      <c r="AC43" s="3">
        <f t="shared" si="134"/>
        <v>-10530</v>
      </c>
      <c r="AD43" s="3">
        <f t="shared" si="134"/>
        <v>6975</v>
      </c>
      <c r="AE43" s="3">
        <f t="shared" si="134"/>
        <v>-14885</v>
      </c>
      <c r="AF43" s="3">
        <f t="shared" si="134"/>
        <v>-2106</v>
      </c>
      <c r="AG43" s="3">
        <f t="shared" si="134"/>
        <v>2909</v>
      </c>
      <c r="AH43" s="3">
        <f>+AH40-AH41-AH42</f>
        <v>21558</v>
      </c>
      <c r="AI43" s="3">
        <f>+AI40-AI41-AI42</f>
        <v>-179</v>
      </c>
      <c r="AJ43" s="3">
        <f t="shared" ref="AJ43:AK43" si="135">+AJ40-AJ41-AJ42</f>
        <v>939</v>
      </c>
      <c r="AK43" s="3">
        <f t="shared" si="135"/>
        <v>-1982</v>
      </c>
      <c r="AL43" s="3">
        <f t="shared" ref="AL43" si="136">+AL40-AL41-AL42</f>
        <v>12807</v>
      </c>
      <c r="BC43" s="3">
        <f t="shared" ref="BC43" si="137">+BC40-BC41-BC42</f>
        <v>9399</v>
      </c>
      <c r="BD43" s="3">
        <f t="shared" ref="BD43" si="138">+BD40-BD41-BD42</f>
        <v>2195</v>
      </c>
      <c r="BE43" s="3">
        <f t="shared" ref="BE43:BF43" si="139">+BE40-BE41-BE42</f>
        <v>11878</v>
      </c>
      <c r="BF43" s="3">
        <f t="shared" si="139"/>
        <v>14789</v>
      </c>
      <c r="BG43" s="3">
        <f t="shared" ref="BG43" si="140">+BG40-BG41-BG42</f>
        <v>16716</v>
      </c>
      <c r="BH43" s="3">
        <f t="shared" ref="BH43:BJ43" si="141">+BH40-BH41-BH42</f>
        <v>-27483</v>
      </c>
      <c r="BI43" s="3">
        <f t="shared" si="141"/>
        <v>-36514</v>
      </c>
      <c r="BJ43" s="3">
        <f t="shared" si="141"/>
        <v>8194</v>
      </c>
      <c r="BK43" s="3">
        <f t="shared" ref="BK43" si="142">+BK40-BK41-BK42</f>
        <v>10867</v>
      </c>
      <c r="BL43" s="3"/>
      <c r="BM43" s="3"/>
      <c r="BN43" s="3"/>
      <c r="BO43" s="3"/>
      <c r="BP43" s="3"/>
      <c r="BQ43" s="3"/>
    </row>
    <row r="44" spans="1:71">
      <c r="B44" s="1" t="s">
        <v>41</v>
      </c>
      <c r="C44" s="3">
        <f t="shared" ref="C44:Y44" si="143">+C40-C41</f>
        <v>0</v>
      </c>
      <c r="D44" s="3">
        <f t="shared" si="143"/>
        <v>0</v>
      </c>
      <c r="E44" s="3">
        <f t="shared" si="143"/>
        <v>0</v>
      </c>
      <c r="F44" s="3">
        <f t="shared" si="143"/>
        <v>0</v>
      </c>
      <c r="G44" s="3">
        <f t="shared" si="143"/>
        <v>0</v>
      </c>
      <c r="H44" s="3">
        <f t="shared" si="143"/>
        <v>0</v>
      </c>
      <c r="I44" s="3">
        <f t="shared" si="143"/>
        <v>0</v>
      </c>
      <c r="J44" s="3">
        <f t="shared" si="143"/>
        <v>0</v>
      </c>
      <c r="K44" s="3">
        <f t="shared" si="143"/>
        <v>0</v>
      </c>
      <c r="L44" s="3">
        <f t="shared" si="143"/>
        <v>0</v>
      </c>
      <c r="M44" s="3">
        <f t="shared" si="143"/>
        <v>0</v>
      </c>
      <c r="N44" s="3">
        <f t="shared" si="143"/>
        <v>0</v>
      </c>
      <c r="O44" s="3">
        <f t="shared" si="143"/>
        <v>-1444</v>
      </c>
      <c r="P44" s="3">
        <f t="shared" si="143"/>
        <v>5556</v>
      </c>
      <c r="Q44" s="3">
        <f t="shared" si="143"/>
        <v>0</v>
      </c>
      <c r="R44" s="3">
        <f t="shared" si="143"/>
        <v>0</v>
      </c>
      <c r="S44" s="3">
        <f t="shared" si="143"/>
        <v>-3731</v>
      </c>
      <c r="T44" s="3">
        <f t="shared" si="143"/>
        <v>13147</v>
      </c>
      <c r="U44" s="3">
        <f t="shared" si="143"/>
        <v>901</v>
      </c>
      <c r="V44" s="3">
        <f t="shared" si="143"/>
        <v>15606</v>
      </c>
      <c r="W44" s="3">
        <f t="shared" si="143"/>
        <v>0</v>
      </c>
      <c r="X44" s="3">
        <f t="shared" si="143"/>
        <v>0</v>
      </c>
      <c r="Y44" s="3">
        <f t="shared" si="143"/>
        <v>-8435</v>
      </c>
      <c r="Z44" s="3">
        <f t="shared" ref="Z44" si="144">+Z40-Z41</f>
        <v>3151</v>
      </c>
      <c r="AA44" s="3">
        <f t="shared" ref="AA44:AD44" si="145">+AA40-AA41</f>
        <v>-17741</v>
      </c>
      <c r="AB44" s="3">
        <f>+AB40-AB41</f>
        <v>-6759</v>
      </c>
      <c r="AC44" s="3">
        <f t="shared" si="145"/>
        <v>-4974</v>
      </c>
      <c r="AD44" s="3">
        <f t="shared" si="145"/>
        <v>12581</v>
      </c>
      <c r="AE44" s="3">
        <f>+AE40-AE41</f>
        <v>-10137</v>
      </c>
      <c r="AF44" s="3">
        <f t="shared" ref="AF44:AI44" si="146">+AF40-AF41</f>
        <v>5021</v>
      </c>
      <c r="AG44" s="3">
        <f t="shared" si="146"/>
        <v>8738</v>
      </c>
      <c r="AH44" s="3">
        <f>+AH40-AH41</f>
        <v>27877</v>
      </c>
      <c r="AI44" s="3">
        <f t="shared" si="146"/>
        <v>4782</v>
      </c>
      <c r="AJ44" s="3">
        <f t="shared" ref="AJ44:AK44" si="147">+AJ40-AJ41</f>
        <v>7661</v>
      </c>
      <c r="AK44" s="3">
        <f t="shared" si="147"/>
        <v>3351</v>
      </c>
      <c r="AL44" s="3">
        <f t="shared" ref="AL44" si="148">+AL40-AL41</f>
        <v>17802</v>
      </c>
      <c r="BA44" s="3">
        <f t="shared" ref="BA44:BC44" si="149">+BA40-BA41</f>
        <v>1949</v>
      </c>
      <c r="BB44" s="3">
        <f t="shared" si="149"/>
        <v>6652</v>
      </c>
      <c r="BC44" s="3">
        <f t="shared" si="149"/>
        <v>9399</v>
      </c>
      <c r="BD44" s="3">
        <f>+BD94+BD96</f>
        <v>6479</v>
      </c>
      <c r="BE44" s="3">
        <f t="shared" ref="BE44:BF44" si="150">+BE94+BE96</f>
        <v>17296</v>
      </c>
      <c r="BF44" s="3">
        <f t="shared" si="150"/>
        <v>21653</v>
      </c>
      <c r="BG44" s="3">
        <f t="shared" ref="BG44" si="151">+BG40-BG41</f>
        <v>25924</v>
      </c>
      <c r="BH44" s="3">
        <f t="shared" ref="BH44:BJ44" si="152">+BH40-BH41</f>
        <v>-14726</v>
      </c>
      <c r="BI44" s="3">
        <f t="shared" si="152"/>
        <v>-16893</v>
      </c>
      <c r="BJ44" s="3">
        <f t="shared" si="152"/>
        <v>32217</v>
      </c>
      <c r="BK44" s="3">
        <f t="shared" ref="BK44" si="153">+BK40-BK41</f>
        <v>32878</v>
      </c>
      <c r="BL44" s="3"/>
      <c r="BM44" s="3"/>
      <c r="BN44" s="3"/>
      <c r="BO44" s="3"/>
      <c r="BP44" s="3"/>
      <c r="BQ44" s="3"/>
    </row>
    <row r="45" spans="1:71">
      <c r="AA45" s="3"/>
      <c r="AK45" s="3"/>
    </row>
    <row r="46" spans="1:71">
      <c r="B46" s="1" t="s">
        <v>62</v>
      </c>
      <c r="W46" s="3"/>
      <c r="X46" s="3"/>
      <c r="Y46" s="3">
        <f t="shared" ref="Y46" si="154">+SUM(V44:Y44)</f>
        <v>7171</v>
      </c>
      <c r="Z46" s="3">
        <f t="shared" ref="Z46" si="155">+SUM(W44:Z44)</f>
        <v>-5284</v>
      </c>
      <c r="AA46" s="3">
        <f t="shared" ref="AA46" si="156">+SUM(X44:AA44)</f>
        <v>-23025</v>
      </c>
      <c r="AB46" s="3">
        <f>+SUM(Y44:AB44)</f>
        <v>-29784</v>
      </c>
      <c r="AC46" s="3">
        <f t="shared" ref="AC46" si="157">+SUM(Z44:AC44)</f>
        <v>-26323</v>
      </c>
      <c r="AD46" s="3">
        <f>+SUM(AA44:AD44)</f>
        <v>-16893</v>
      </c>
      <c r="AE46" s="3">
        <f t="shared" ref="AE46:AI46" si="158">+SUM(AB44:AE44)</f>
        <v>-9289</v>
      </c>
      <c r="AF46" s="3">
        <f t="shared" si="158"/>
        <v>2491</v>
      </c>
      <c r="AG46" s="3">
        <f t="shared" si="158"/>
        <v>16203</v>
      </c>
      <c r="AH46" s="3">
        <f t="shared" si="158"/>
        <v>31499</v>
      </c>
      <c r="AI46" s="3">
        <f t="shared" si="158"/>
        <v>46418</v>
      </c>
      <c r="AJ46" s="3">
        <f t="shared" ref="AJ46" si="159">+SUM(AG44:AJ44)</f>
        <v>49058</v>
      </c>
      <c r="AK46" s="3">
        <f>+SUM(AH44:AK44)</f>
        <v>43671</v>
      </c>
      <c r="AL46" s="3">
        <f t="shared" ref="AL46" si="160">+SUM(AI44:AL44)</f>
        <v>33596</v>
      </c>
    </row>
    <row r="47" spans="1:71">
      <c r="AA47" s="3"/>
      <c r="AK47" s="3"/>
    </row>
    <row r="48" spans="1:71">
      <c r="B48" s="1" t="s">
        <v>43</v>
      </c>
      <c r="P48" s="1">
        <f>36092+18929-23414</f>
        <v>31607</v>
      </c>
      <c r="T48" s="1">
        <f>37466+33925-33128</f>
        <v>38263</v>
      </c>
      <c r="V48" s="1">
        <f>42122+42274-31816</f>
        <v>52580</v>
      </c>
      <c r="Z48" s="1">
        <f>36220+59829-48744</f>
        <v>47305</v>
      </c>
      <c r="AA48" s="3">
        <f>36393+29992-47556</f>
        <v>18829</v>
      </c>
      <c r="AB48" s="3">
        <f>53888+16138-67150</f>
        <v>2876</v>
      </c>
      <c r="AC48" s="3">
        <f>53888+16138-67150</f>
        <v>2876</v>
      </c>
      <c r="AD48" s="3">
        <f>53888+16138-67150</f>
        <v>2876</v>
      </c>
      <c r="AE48" s="3">
        <f>53888+16138-67150</f>
        <v>2876</v>
      </c>
      <c r="AF48" s="3">
        <f>49529+14441-63092</f>
        <v>878</v>
      </c>
      <c r="AG48" s="3">
        <f>49605+14564-61098</f>
        <v>3071</v>
      </c>
      <c r="AH48" s="3">
        <f>73387+13393-58314</f>
        <v>28466</v>
      </c>
      <c r="AI48" s="3">
        <f>72852+12222-57634</f>
        <v>27440</v>
      </c>
      <c r="AJ48" s="3">
        <f>71178+17914-54889</f>
        <v>34203</v>
      </c>
      <c r="AK48" s="3">
        <f>75091+12960-54890</f>
        <v>33161</v>
      </c>
      <c r="AL48" s="3">
        <f>78779+22423-52623</f>
        <v>48579</v>
      </c>
      <c r="AU48" s="3">
        <f t="shared" ref="AU48:BB48" si="161">+AU49+AU50-AU63</f>
        <v>3318</v>
      </c>
      <c r="AV48" s="3">
        <f t="shared" si="161"/>
        <v>6366</v>
      </c>
      <c r="AW48" s="3">
        <f t="shared" si="161"/>
        <v>8762</v>
      </c>
      <c r="AX48" s="3">
        <f t="shared" si="161"/>
        <v>9321</v>
      </c>
      <c r="AY48" s="3">
        <f t="shared" si="161"/>
        <v>8364</v>
      </c>
      <c r="AZ48" s="3">
        <f t="shared" si="161"/>
        <v>9256</v>
      </c>
      <c r="BA48" s="3">
        <f t="shared" si="161"/>
        <v>9151</v>
      </c>
      <c r="BB48" s="3">
        <f t="shared" si="161"/>
        <v>11581</v>
      </c>
      <c r="BC48" s="3">
        <f>+BC49+BC50-BC63</f>
        <v>18287</v>
      </c>
      <c r="BD48" s="3">
        <f t="shared" ref="BD48:BJ48" si="162">+BD49+BD50-BD63</f>
        <v>6243</v>
      </c>
      <c r="BE48" s="3">
        <f t="shared" si="162"/>
        <v>17755</v>
      </c>
      <c r="BF48" s="3">
        <f t="shared" si="162"/>
        <v>31607</v>
      </c>
      <c r="BG48" s="3">
        <f t="shared" si="162"/>
        <v>52580</v>
      </c>
      <c r="BH48" s="3">
        <f t="shared" si="162"/>
        <v>47305</v>
      </c>
      <c r="BI48" s="3">
        <f t="shared" si="162"/>
        <v>2876</v>
      </c>
      <c r="BJ48" s="3">
        <f t="shared" si="162"/>
        <v>28466</v>
      </c>
      <c r="BK48" s="3">
        <f>+AL48</f>
        <v>48579</v>
      </c>
      <c r="BL48" s="3">
        <f>+BK48+BL24</f>
        <v>108704.93369600002</v>
      </c>
      <c r="BM48" s="3">
        <f t="shared" ref="BM48:BQ48" si="163">+BL48+BM24</f>
        <v>190480.09818752002</v>
      </c>
      <c r="BN48" s="3">
        <f t="shared" si="163"/>
        <v>299292.15407743369</v>
      </c>
      <c r="BO48" s="3">
        <f t="shared" si="163"/>
        <v>442783.15712104971</v>
      </c>
      <c r="BP48" s="3">
        <f t="shared" si="163"/>
        <v>624645.52078935667</v>
      </c>
      <c r="BQ48" s="3">
        <f t="shared" si="163"/>
        <v>841837.95500946918</v>
      </c>
      <c r="BR48" s="3">
        <f t="shared" ref="BR48" si="164">+BQ48+BR24</f>
        <v>1100289.4825813202</v>
      </c>
      <c r="BS48" s="3">
        <f t="shared" ref="BS48" si="165">+BR48+BS24</f>
        <v>1406894.5117483868</v>
      </c>
    </row>
    <row r="49" spans="2:63">
      <c r="B49" s="1" t="s">
        <v>137</v>
      </c>
      <c r="AU49" s="20">
        <v>2769</v>
      </c>
      <c r="AV49" s="20">
        <v>3444</v>
      </c>
      <c r="AW49" s="20">
        <v>3777</v>
      </c>
      <c r="AX49" s="20">
        <v>5269</v>
      </c>
      <c r="AY49" s="20">
        <v>8084</v>
      </c>
      <c r="AZ49" s="20">
        <v>8658</v>
      </c>
      <c r="BA49" s="20">
        <v>14557</v>
      </c>
      <c r="BB49" s="20">
        <v>15890</v>
      </c>
      <c r="BC49" s="3">
        <v>19334</v>
      </c>
      <c r="BD49" s="3">
        <v>20522</v>
      </c>
      <c r="BE49" s="3">
        <v>31750</v>
      </c>
      <c r="BF49" s="3">
        <v>36092</v>
      </c>
      <c r="BG49" s="3">
        <v>42122</v>
      </c>
      <c r="BH49" s="3">
        <v>36220</v>
      </c>
      <c r="BI49" s="3">
        <v>53888</v>
      </c>
      <c r="BJ49" s="3">
        <v>73387</v>
      </c>
      <c r="BK49" s="3">
        <v>78779</v>
      </c>
    </row>
    <row r="50" spans="2:63">
      <c r="B50" s="1" t="s">
        <v>138</v>
      </c>
      <c r="AU50" s="20">
        <v>958</v>
      </c>
      <c r="AV50" s="20">
        <v>2922</v>
      </c>
      <c r="AW50" s="20">
        <v>4985</v>
      </c>
      <c r="AX50" s="20">
        <v>4307</v>
      </c>
      <c r="AY50" s="20">
        <v>3364</v>
      </c>
      <c r="AZ50" s="20">
        <v>3789</v>
      </c>
      <c r="BA50" s="20">
        <v>2859</v>
      </c>
      <c r="BB50" s="20">
        <v>3918</v>
      </c>
      <c r="BC50" s="20">
        <v>6647</v>
      </c>
      <c r="BD50" s="3">
        <v>10464</v>
      </c>
      <c r="BE50" s="3">
        <v>9500</v>
      </c>
      <c r="BF50" s="3">
        <v>18929</v>
      </c>
      <c r="BG50" s="3">
        <v>42274</v>
      </c>
      <c r="BH50" s="3">
        <v>59829</v>
      </c>
      <c r="BI50" s="3">
        <v>16138</v>
      </c>
      <c r="BJ50" s="3">
        <v>13393</v>
      </c>
      <c r="BK50" s="3">
        <v>22423</v>
      </c>
    </row>
    <row r="51" spans="2:63">
      <c r="B51" s="1" t="s">
        <v>139</v>
      </c>
      <c r="BC51" s="3">
        <v>11461</v>
      </c>
      <c r="BD51" s="3">
        <v>16047</v>
      </c>
      <c r="BE51" s="3">
        <v>17174</v>
      </c>
      <c r="BF51" s="3">
        <v>20497</v>
      </c>
      <c r="BG51" s="3">
        <v>23795</v>
      </c>
      <c r="BH51" s="3">
        <v>32640</v>
      </c>
      <c r="BI51" s="3">
        <v>34405</v>
      </c>
      <c r="BJ51" s="3">
        <v>33318</v>
      </c>
      <c r="BK51" s="3">
        <v>34214</v>
      </c>
    </row>
    <row r="52" spans="2:63">
      <c r="B52" s="1" t="s">
        <v>140</v>
      </c>
      <c r="BC52" s="3">
        <v>8339</v>
      </c>
      <c r="BD52" s="3">
        <v>13164</v>
      </c>
      <c r="BE52" s="3">
        <v>16677</v>
      </c>
      <c r="BF52" s="3">
        <v>20816</v>
      </c>
      <c r="BG52" s="3">
        <v>24542</v>
      </c>
      <c r="BH52" s="3">
        <v>32891</v>
      </c>
      <c r="BI52" s="3">
        <v>42360</v>
      </c>
      <c r="BJ52" s="3">
        <v>52253</v>
      </c>
      <c r="BK52" s="3">
        <v>55451</v>
      </c>
    </row>
    <row r="53" spans="2:63">
      <c r="B53" s="1" t="s">
        <v>141</v>
      </c>
      <c r="AU53" s="20">
        <v>854</v>
      </c>
      <c r="AV53" s="20">
        <v>1290</v>
      </c>
      <c r="AW53" s="20">
        <v>2414</v>
      </c>
      <c r="AX53" s="20">
        <v>4417</v>
      </c>
      <c r="AY53" s="20">
        <v>7060</v>
      </c>
      <c r="AZ53" s="20">
        <v>10949</v>
      </c>
      <c r="BA53" s="20">
        <v>16967</v>
      </c>
      <c r="BB53" s="20">
        <v>21838</v>
      </c>
      <c r="BC53" s="20">
        <v>29114</v>
      </c>
      <c r="BD53" s="3">
        <v>48866</v>
      </c>
      <c r="BE53" s="3">
        <v>61797</v>
      </c>
      <c r="BF53" s="3">
        <v>72705</v>
      </c>
      <c r="BG53" s="3">
        <v>113114</v>
      </c>
      <c r="BH53" s="3">
        <v>160281</v>
      </c>
      <c r="BI53" s="3">
        <v>186715</v>
      </c>
      <c r="BJ53" s="3">
        <v>204177</v>
      </c>
      <c r="BK53" s="3">
        <v>252665</v>
      </c>
    </row>
    <row r="54" spans="2:63">
      <c r="B54" s="1" t="s">
        <v>170</v>
      </c>
      <c r="BC54" s="3">
        <v>0</v>
      </c>
      <c r="BD54" s="3">
        <v>0</v>
      </c>
      <c r="BE54" s="3">
        <v>0</v>
      </c>
      <c r="BF54" s="3">
        <v>25141</v>
      </c>
      <c r="BG54" s="3">
        <v>37553</v>
      </c>
      <c r="BH54" s="3">
        <v>56082</v>
      </c>
      <c r="BI54" s="3">
        <v>66123</v>
      </c>
      <c r="BJ54" s="3">
        <v>72513</v>
      </c>
      <c r="BK54" s="3">
        <v>76141</v>
      </c>
    </row>
    <row r="55" spans="2:63">
      <c r="B55" s="1" t="s">
        <v>142</v>
      </c>
      <c r="BC55" s="3">
        <v>3784</v>
      </c>
      <c r="BD55" s="3">
        <v>13350</v>
      </c>
      <c r="BE55" s="3">
        <v>14548</v>
      </c>
      <c r="BF55" s="3">
        <v>14754</v>
      </c>
      <c r="BG55" s="3">
        <v>15017</v>
      </c>
      <c r="BH55" s="3">
        <v>15371</v>
      </c>
      <c r="BI55" s="3">
        <v>20288</v>
      </c>
      <c r="BJ55" s="3">
        <v>22789</v>
      </c>
      <c r="BK55" s="3">
        <v>23074</v>
      </c>
    </row>
    <row r="56" spans="2:63">
      <c r="B56" s="1" t="s">
        <v>143</v>
      </c>
      <c r="BC56" s="3">
        <v>4723</v>
      </c>
      <c r="BD56" s="3">
        <v>8897</v>
      </c>
      <c r="BE56" s="3">
        <v>11202</v>
      </c>
      <c r="BF56" s="3">
        <v>16314</v>
      </c>
      <c r="BG56" s="3">
        <v>22778</v>
      </c>
      <c r="BH56" s="3">
        <v>27235</v>
      </c>
      <c r="BI56" s="3">
        <v>42758</v>
      </c>
      <c r="BJ56" s="3">
        <v>56024</v>
      </c>
      <c r="BK56" s="3">
        <v>82147</v>
      </c>
    </row>
    <row r="57" spans="2:63">
      <c r="B57" s="1" t="s">
        <v>144</v>
      </c>
      <c r="BC57" s="3">
        <f t="shared" ref="BC57" si="166">+SUM(BC49:BC56)</f>
        <v>83402</v>
      </c>
      <c r="BD57" s="3">
        <f>+SUM(BD49:BD56)</f>
        <v>131310</v>
      </c>
      <c r="BE57" s="3">
        <f t="shared" ref="BE57:BK57" si="167">+SUM(BE49:BE56)</f>
        <v>162648</v>
      </c>
      <c r="BF57" s="3">
        <f>+SUM(BF49:BF56)</f>
        <v>225248</v>
      </c>
      <c r="BG57" s="3">
        <f t="shared" si="167"/>
        <v>321195</v>
      </c>
      <c r="BH57" s="3">
        <f t="shared" si="167"/>
        <v>420549</v>
      </c>
      <c r="BI57" s="3">
        <f t="shared" si="167"/>
        <v>462675</v>
      </c>
      <c r="BJ57" s="3">
        <f t="shared" si="167"/>
        <v>527854</v>
      </c>
      <c r="BK57" s="3">
        <f t="shared" si="167"/>
        <v>624894</v>
      </c>
    </row>
    <row r="58" spans="2:63">
      <c r="BD58" s="3"/>
      <c r="BE58" s="3"/>
      <c r="BF58" s="3"/>
      <c r="BG58" s="3"/>
      <c r="BH58" s="3"/>
      <c r="BI58" s="3"/>
      <c r="BJ58" s="3"/>
      <c r="BK58" s="3"/>
    </row>
    <row r="59" spans="2:63">
      <c r="B59" s="1" t="s">
        <v>145</v>
      </c>
      <c r="BC59" s="3">
        <v>25309</v>
      </c>
      <c r="BD59" s="3">
        <v>34616</v>
      </c>
      <c r="BE59" s="3">
        <v>38192</v>
      </c>
      <c r="BF59" s="3">
        <v>47183</v>
      </c>
      <c r="BG59" s="3">
        <v>72539</v>
      </c>
      <c r="BH59" s="3">
        <v>78664</v>
      </c>
      <c r="BI59" s="3">
        <v>79600</v>
      </c>
      <c r="BJ59" s="3">
        <v>84981</v>
      </c>
      <c r="BK59" s="3">
        <v>94363</v>
      </c>
    </row>
    <row r="60" spans="2:63">
      <c r="B60" s="1" t="s">
        <v>146</v>
      </c>
      <c r="BC60" s="3">
        <v>13739</v>
      </c>
      <c r="BD60" s="3">
        <v>18170</v>
      </c>
      <c r="BE60" s="3">
        <v>23663</v>
      </c>
      <c r="BF60" s="3">
        <v>32439</v>
      </c>
      <c r="BG60" s="3">
        <v>44138</v>
      </c>
      <c r="BH60" s="3">
        <v>51775</v>
      </c>
      <c r="BI60" s="3">
        <v>62566</v>
      </c>
      <c r="BJ60" s="3">
        <v>64709</v>
      </c>
      <c r="BK60" s="3">
        <v>66965</v>
      </c>
    </row>
    <row r="61" spans="2:63">
      <c r="B61" s="1" t="s">
        <v>147</v>
      </c>
      <c r="BC61" s="3">
        <v>4768</v>
      </c>
      <c r="BD61" s="3">
        <v>5097</v>
      </c>
      <c r="BE61" s="3">
        <v>6536</v>
      </c>
      <c r="BF61" s="3">
        <v>8190</v>
      </c>
      <c r="BG61" s="3">
        <v>9708</v>
      </c>
      <c r="BH61" s="3">
        <v>11827</v>
      </c>
      <c r="BI61" s="3">
        <v>13227</v>
      </c>
      <c r="BJ61" s="3">
        <v>15227</v>
      </c>
      <c r="BK61" s="3">
        <v>18103</v>
      </c>
    </row>
    <row r="62" spans="2:63">
      <c r="B62" s="1" t="s">
        <v>171</v>
      </c>
      <c r="BC62" s="3"/>
      <c r="BD62" s="3"/>
      <c r="BE62" s="3">
        <v>9650</v>
      </c>
      <c r="BF62" s="3">
        <v>39791</v>
      </c>
      <c r="BG62" s="3">
        <v>52573</v>
      </c>
      <c r="BH62" s="3">
        <v>67651</v>
      </c>
      <c r="BI62" s="3">
        <v>72968</v>
      </c>
      <c r="BJ62" s="3">
        <v>77297</v>
      </c>
      <c r="BK62" s="3">
        <v>78277</v>
      </c>
    </row>
    <row r="63" spans="2:63">
      <c r="B63" s="1" t="s">
        <v>148</v>
      </c>
      <c r="AU63" s="20">
        <v>409</v>
      </c>
      <c r="AV63" s="20">
        <v>0</v>
      </c>
      <c r="AW63" s="20">
        <v>0</v>
      </c>
      <c r="AX63" s="20">
        <v>255</v>
      </c>
      <c r="AY63" s="20">
        <v>3084</v>
      </c>
      <c r="AZ63" s="20">
        <v>3191</v>
      </c>
      <c r="BA63" s="20">
        <v>8265</v>
      </c>
      <c r="BB63" s="20">
        <v>8227</v>
      </c>
      <c r="BC63" s="20">
        <v>7694</v>
      </c>
      <c r="BD63" s="3">
        <v>24743</v>
      </c>
      <c r="BE63" s="3">
        <v>23495</v>
      </c>
      <c r="BF63" s="3">
        <v>23414</v>
      </c>
      <c r="BG63" s="3">
        <v>31816</v>
      </c>
      <c r="BH63" s="3">
        <v>48744</v>
      </c>
      <c r="BI63" s="3">
        <v>67150</v>
      </c>
      <c r="BJ63" s="3">
        <v>58314</v>
      </c>
      <c r="BK63" s="3">
        <v>52623</v>
      </c>
    </row>
    <row r="64" spans="2:63">
      <c r="B64" s="1" t="s">
        <v>149</v>
      </c>
      <c r="BC64" s="3">
        <v>12607</v>
      </c>
      <c r="BD64" s="3">
        <v>20975</v>
      </c>
      <c r="BE64" s="3">
        <v>17563</v>
      </c>
      <c r="BF64" s="3">
        <v>12171</v>
      </c>
      <c r="BG64" s="3">
        <v>17017</v>
      </c>
      <c r="BH64" s="3">
        <v>23643</v>
      </c>
      <c r="BI64" s="3">
        <v>21121</v>
      </c>
      <c r="BJ64" s="3">
        <v>25451</v>
      </c>
      <c r="BK64" s="3">
        <v>28593</v>
      </c>
    </row>
    <row r="65" spans="2:69">
      <c r="B65" s="1" t="s">
        <v>150</v>
      </c>
      <c r="BC65" s="3">
        <f t="shared" ref="BC65" si="168">+SUM(BC59:BC64)</f>
        <v>64117</v>
      </c>
      <c r="BD65" s="3">
        <f>+SUM(BD59:BD64)</f>
        <v>103601</v>
      </c>
      <c r="BE65" s="3">
        <f t="shared" ref="BE65:BJ65" si="169">+SUM(BE59:BE64)</f>
        <v>119099</v>
      </c>
      <c r="BF65" s="3">
        <f t="shared" si="169"/>
        <v>163188</v>
      </c>
      <c r="BG65" s="3">
        <f t="shared" si="169"/>
        <v>227791</v>
      </c>
      <c r="BH65" s="3">
        <f t="shared" si="169"/>
        <v>282304</v>
      </c>
      <c r="BI65" s="3">
        <f t="shared" si="169"/>
        <v>316632</v>
      </c>
      <c r="BJ65" s="3">
        <f t="shared" si="169"/>
        <v>325979</v>
      </c>
      <c r="BK65" s="3">
        <f t="shared" ref="BK65" si="170">+SUM(BK59:BK64)</f>
        <v>338924</v>
      </c>
    </row>
    <row r="66" spans="2:69">
      <c r="B66" s="1" t="s">
        <v>151</v>
      </c>
      <c r="BC66" s="3">
        <v>19285</v>
      </c>
      <c r="BD66" s="3">
        <v>27709</v>
      </c>
      <c r="BE66" s="3">
        <v>43549</v>
      </c>
      <c r="BF66" s="3">
        <v>62060</v>
      </c>
      <c r="BG66" s="3">
        <v>93404</v>
      </c>
      <c r="BH66" s="3">
        <v>138245</v>
      </c>
      <c r="BI66" s="3">
        <v>146043</v>
      </c>
      <c r="BJ66" s="3">
        <v>201875</v>
      </c>
      <c r="BK66" s="3">
        <v>201875</v>
      </c>
    </row>
    <row r="67" spans="2:69">
      <c r="B67" s="1" t="s">
        <v>152</v>
      </c>
      <c r="BC67" s="3">
        <f t="shared" ref="BC67" si="171">+BC65+BC66</f>
        <v>83402</v>
      </c>
      <c r="BD67" s="3">
        <f>+BD65+BD66</f>
        <v>131310</v>
      </c>
      <c r="BE67" s="3">
        <f t="shared" ref="BE67:BJ67" si="172">+BE65+BE66</f>
        <v>162648</v>
      </c>
      <c r="BF67" s="3">
        <f t="shared" si="172"/>
        <v>225248</v>
      </c>
      <c r="BG67" s="3">
        <f t="shared" si="172"/>
        <v>321195</v>
      </c>
      <c r="BH67" s="3">
        <f t="shared" si="172"/>
        <v>420549</v>
      </c>
      <c r="BI67" s="3">
        <f t="shared" si="172"/>
        <v>462675</v>
      </c>
      <c r="BJ67" s="3">
        <f t="shared" si="172"/>
        <v>527854</v>
      </c>
      <c r="BK67" s="3">
        <f t="shared" ref="BK67" si="173">+BK65+BK66</f>
        <v>540799</v>
      </c>
    </row>
    <row r="69" spans="2:69">
      <c r="B69" s="1" t="s">
        <v>180</v>
      </c>
      <c r="BD69" s="4">
        <f t="shared" ref="BD69:BJ69" si="174">+BD24/BD66</f>
        <v>0.10945902053484427</v>
      </c>
      <c r="BE69" s="4">
        <f t="shared" si="174"/>
        <v>0.231302670555007</v>
      </c>
      <c r="BF69" s="4">
        <f t="shared" si="174"/>
        <v>0.22520141798259749</v>
      </c>
      <c r="BG69" s="4">
        <f t="shared" si="174"/>
        <v>0.22837351719412444</v>
      </c>
      <c r="BH69" s="4">
        <f t="shared" si="174"/>
        <v>0.24131071648160873</v>
      </c>
      <c r="BI69" s="4">
        <f t="shared" si="174"/>
        <v>-1.8617804345295565E-2</v>
      </c>
      <c r="BJ69" s="4">
        <f t="shared" si="174"/>
        <v>0.15077151702786379</v>
      </c>
      <c r="BK69" s="4">
        <f>+BK24/BK66</f>
        <v>0.29348854489164089</v>
      </c>
    </row>
    <row r="71" spans="2:69">
      <c r="B71" s="1" t="s">
        <v>55</v>
      </c>
      <c r="P71" s="4">
        <f>1564/38653</f>
        <v>4.0462577290249137E-2</v>
      </c>
      <c r="T71" s="4">
        <f>2141/55436</f>
        <v>3.8621112634389207E-2</v>
      </c>
      <c r="V71" s="4">
        <f>2946/75346</f>
        <v>3.9099620417805854E-2</v>
      </c>
      <c r="W71" s="4"/>
      <c r="X71" s="4"/>
      <c r="Y71" s="4"/>
      <c r="Z71" s="4">
        <f>-206/82360</f>
        <v>-2.5012141816415736E-3</v>
      </c>
      <c r="AA71" s="4">
        <f>-1568/69244</f>
        <v>-2.2644561261625555E-2</v>
      </c>
      <c r="AE71" s="4">
        <f>898/76881</f>
        <v>1.1680389172877564E-2</v>
      </c>
      <c r="AF71" s="4"/>
      <c r="AG71" s="4"/>
      <c r="AH71" s="4"/>
      <c r="AI71" s="4">
        <f>4983/86341</f>
        <v>5.7713021623562386E-2</v>
      </c>
      <c r="AJ71" s="4">
        <f>5065/90033</f>
        <v>5.6257150156053891E-2</v>
      </c>
      <c r="BD71" s="4">
        <f>2837/106110</f>
        <v>2.6736405616812741E-2</v>
      </c>
      <c r="BE71" s="4">
        <f>7267/141366</f>
        <v>5.1405571353790869E-2</v>
      </c>
      <c r="BF71" s="4">
        <f>7033/170773</f>
        <v>4.1183325232911523E-2</v>
      </c>
      <c r="BG71" s="4">
        <f>8651/236282</f>
        <v>3.6613030192735797E-2</v>
      </c>
      <c r="BH71" s="4">
        <f>7271/279833</f>
        <v>2.5983354357777676E-2</v>
      </c>
      <c r="BI71" s="4">
        <f>-2847/315880</f>
        <v>-9.0129162973280989E-3</v>
      </c>
      <c r="BJ71" s="4">
        <f>14877/352828</f>
        <v>4.2165020916707291E-2</v>
      </c>
      <c r="BK71" s="4">
        <f>24967/387497</f>
        <v>6.4431466566192766E-2</v>
      </c>
    </row>
    <row r="72" spans="2:69">
      <c r="B72" s="1" t="s">
        <v>54</v>
      </c>
      <c r="P72" s="4">
        <f>-601/16370</f>
        <v>-3.6713500305436776E-2</v>
      </c>
      <c r="T72" s="4">
        <f>345/22668</f>
        <v>1.5219692959237693E-2</v>
      </c>
      <c r="V72" s="4">
        <f>363/37467</f>
        <v>9.6885259027944589E-3</v>
      </c>
      <c r="W72" s="4"/>
      <c r="X72" s="4"/>
      <c r="Y72" s="4"/>
      <c r="Z72" s="4">
        <f>-1627/37272</f>
        <v>-4.3652071259927025E-2</v>
      </c>
      <c r="AA72" s="4">
        <f>-1281/28759</f>
        <v>-4.4542577975590247E-2</v>
      </c>
      <c r="AB72" s="4"/>
      <c r="AC72" s="4"/>
      <c r="AD72" s="4"/>
      <c r="AE72" s="4">
        <f>-1247/29123</f>
        <v>-4.2818390962469526E-2</v>
      </c>
      <c r="AF72" s="4"/>
      <c r="AG72" s="4"/>
      <c r="AH72" s="4"/>
      <c r="AI72" s="4">
        <f>903/31935</f>
        <v>2.8276186002818223E-2</v>
      </c>
      <c r="AJ72" s="4">
        <f>273/26281</f>
        <v>1.0387732582474031E-2</v>
      </c>
      <c r="BD72" s="4">
        <f>-3062/54297</f>
        <v>-5.6393539237895279E-2</v>
      </c>
      <c r="BE72" s="4">
        <f>-2142/65866</f>
        <v>-3.2520572070567515E-2</v>
      </c>
      <c r="BF72" s="4">
        <f>-1693/74723</f>
        <v>-2.2657013235549965E-2</v>
      </c>
      <c r="BG72" s="4">
        <f>717/104412</f>
        <v>6.8670267785312031E-3</v>
      </c>
      <c r="BH72" s="4">
        <f>-924/127787</f>
        <v>-7.2307824739605746E-3</v>
      </c>
      <c r="BI72" s="4">
        <f>-7746/118007</f>
        <v>-6.5640173887989692E-2</v>
      </c>
      <c r="BJ72" s="4">
        <f>-2656/131200</f>
        <v>-2.0243902439024391E-2</v>
      </c>
      <c r="BK72" s="4">
        <f>3792/142906</f>
        <v>2.6534925055630973E-2</v>
      </c>
    </row>
    <row r="73" spans="2:69">
      <c r="B73" s="1" t="s">
        <v>53</v>
      </c>
      <c r="P73" s="4">
        <f>2121/8381</f>
        <v>0.25307242572485383</v>
      </c>
      <c r="T73" s="4">
        <f>3357/10808</f>
        <v>0.31060325684678014</v>
      </c>
      <c r="V73" s="4">
        <f>3564/12742</f>
        <v>0.27970491288651705</v>
      </c>
      <c r="W73" s="4"/>
      <c r="X73" s="4"/>
      <c r="Y73" s="4"/>
      <c r="Z73" s="4">
        <f>5293/17780</f>
        <v>0.29769403824521934</v>
      </c>
      <c r="AA73" s="4">
        <f>6518/18441</f>
        <v>0.35345154818068436</v>
      </c>
      <c r="AE73" s="4">
        <f>5123/AE7</f>
        <v>0.23990821391776718</v>
      </c>
      <c r="AI73" s="4">
        <f>9421/AI7</f>
        <v>0.37628310101050444</v>
      </c>
      <c r="AJ73" s="4">
        <f>9334/26281</f>
        <v>0.35516152353411212</v>
      </c>
      <c r="BD73" s="4">
        <f>4331/17489</f>
        <v>0.24764137457830637</v>
      </c>
      <c r="BE73" s="4">
        <f>7296/25655</f>
        <v>0.28438900799064509</v>
      </c>
      <c r="BF73" s="4">
        <f>9201/35026</f>
        <v>0.26269057271740992</v>
      </c>
      <c r="BG73" s="4">
        <f>13531/45370</f>
        <v>0.29823672029975756</v>
      </c>
      <c r="BH73" s="4">
        <f>18532/62202</f>
        <v>0.29793254236198191</v>
      </c>
      <c r="BI73" s="4">
        <f>22841/80096</f>
        <v>0.28517029564522572</v>
      </c>
      <c r="BJ73" s="4">
        <f>24631/90757</f>
        <v>0.27139504390845887</v>
      </c>
      <c r="BK73" s="4">
        <f>39834/107556</f>
        <v>0.37035590762021642</v>
      </c>
    </row>
    <row r="75" spans="2:69">
      <c r="B75" s="1" t="s">
        <v>56</v>
      </c>
      <c r="AD75" s="1">
        <v>1.5409999999999999</v>
      </c>
      <c r="AH75" s="1">
        <v>1.5249999999999999</v>
      </c>
      <c r="BD75" s="1">
        <v>0.56599999999999995</v>
      </c>
      <c r="BE75" s="1">
        <v>0.64749999999999996</v>
      </c>
      <c r="BF75" s="1">
        <v>0.79800000000000004</v>
      </c>
      <c r="BG75" s="1">
        <v>1.298</v>
      </c>
      <c r="BH75" s="1">
        <v>1.6080000000000001</v>
      </c>
      <c r="BI75" s="1">
        <v>1.5409999999999999</v>
      </c>
      <c r="BJ75" s="1">
        <v>1.5249999999999999</v>
      </c>
      <c r="BK75" s="1">
        <v>1.556</v>
      </c>
    </row>
    <row r="77" spans="2:69">
      <c r="B77" s="1" t="s">
        <v>59</v>
      </c>
      <c r="BE77" s="4">
        <f>+BE15/BD15-1</f>
        <v>0.37193365776144605</v>
      </c>
      <c r="BF77" s="4">
        <f>+BF15/BE15-1</f>
        <v>0.36658462429419436</v>
      </c>
      <c r="BG77" s="4">
        <f>+BG15/BF15-1</f>
        <v>0.16580146201928181</v>
      </c>
      <c r="BH77" s="4">
        <f>+BH15/BG15-1</f>
        <v>0.47905307161032362</v>
      </c>
      <c r="BI77" s="4">
        <f>+BI15/BH15-1</f>
        <v>0.29759454394642249</v>
      </c>
      <c r="BJ77" s="4">
        <f>+BJ15/BI15-1</f>
        <v>5.04758748046783E-2</v>
      </c>
      <c r="BK77" s="4">
        <f>+BK15/BJ15-1</f>
        <v>-1.0434978589136779E-2</v>
      </c>
      <c r="BL77" s="4">
        <f>+BL15/BK15-1</f>
        <v>4.0000000000000036E-2</v>
      </c>
      <c r="BM77" s="4">
        <f>+BM15/BL15-1</f>
        <v>4.0000000000000036E-2</v>
      </c>
      <c r="BN77" s="4">
        <f>+BN15/BM15-1</f>
        <v>4.0000000000000036E-2</v>
      </c>
      <c r="BO77" s="4">
        <f>+BO15/BN15-1</f>
        <v>4.0000000000000036E-2</v>
      </c>
      <c r="BP77" s="4">
        <f>+BP15/BO15-1</f>
        <v>4.0000000000000036E-2</v>
      </c>
      <c r="BQ77" s="4">
        <f>+BQ15/BP15-1</f>
        <v>4.0000000000000036E-2</v>
      </c>
    </row>
    <row r="78" spans="2:69">
      <c r="B78" s="1" t="s">
        <v>60</v>
      </c>
      <c r="BE78" s="4">
        <f>+BE16/BD16-1</f>
        <v>0.18018508437670122</v>
      </c>
      <c r="BF78" s="4">
        <f>+BF16/BE16-1</f>
        <v>0.19995387453874547</v>
      </c>
      <c r="BG78" s="4">
        <f>+BG16/BF16-1</f>
        <v>0.28156832596578907</v>
      </c>
      <c r="BH78" s="4">
        <f>+BH16/BG16-1</f>
        <v>0.32318536292741462</v>
      </c>
      <c r="BI78" s="4">
        <f>+BI16/BH16-1</f>
        <v>0.34772753031848569</v>
      </c>
      <c r="BJ78" s="4">
        <f>+BJ16/BI16-1</f>
        <v>-6.3072912286603611E-3</v>
      </c>
      <c r="BK78" s="4">
        <f>+BK16/BJ16-1</f>
        <v>-3.8676371022342559E-2</v>
      </c>
      <c r="BL78" s="4">
        <f>+BL16/BK16-1</f>
        <v>3.0000000000000027E-2</v>
      </c>
      <c r="BM78" s="4">
        <f>+BM16/BL16-1</f>
        <v>3.0000000000000027E-2</v>
      </c>
      <c r="BN78" s="4">
        <f>+BN16/BM16-1</f>
        <v>3.0000000000000027E-2</v>
      </c>
      <c r="BO78" s="4">
        <f>+BO16/BN16-1</f>
        <v>3.0000000000000027E-2</v>
      </c>
      <c r="BP78" s="4">
        <f>+BP16/BO16-1</f>
        <v>3.0000000000000027E-2</v>
      </c>
      <c r="BQ78" s="4">
        <f>+BQ16/BP16-1</f>
        <v>3.0000000000000027E-2</v>
      </c>
    </row>
    <row r="79" spans="2:69">
      <c r="B79" s="1" t="s">
        <v>61</v>
      </c>
      <c r="BE79" s="4">
        <f>+BE14/BD14-1</f>
        <v>0.27484526967285583</v>
      </c>
      <c r="BF79" s="4">
        <f>+BF14/BE14-1</f>
        <v>0.24600339841176266</v>
      </c>
      <c r="BG79" s="4">
        <f>+BG14/BF14-1</f>
        <v>0.18950210124961742</v>
      </c>
      <c r="BH79" s="4">
        <f>+BH14/BG14-1</f>
        <v>0.31146467009826861</v>
      </c>
      <c r="BI79" s="4">
        <f>+BI14/BH14-1</f>
        <v>0.3061621351602084</v>
      </c>
      <c r="BJ79" s="4">
        <f>+BJ14/BI14-1</f>
        <v>0.16949175692841445</v>
      </c>
      <c r="BK79" s="4">
        <f>+BK14/BJ14-1</f>
        <v>3.4126743126766446E-2</v>
      </c>
      <c r="BL79" s="4">
        <f>+BL14/BK14-1</f>
        <v>0.18263366100469836</v>
      </c>
      <c r="BM79" s="4">
        <f>+BM14/BL14-1</f>
        <v>0.11727366010220019</v>
      </c>
      <c r="BN79" s="4">
        <f>+BN14/BM14-1</f>
        <v>0.11508184534579313</v>
      </c>
      <c r="BO79" s="4">
        <f>+BO14/BN14-1</f>
        <v>0.1154669149383396</v>
      </c>
      <c r="BP79" s="4">
        <f>+BP14/BO14-1</f>
        <v>0.11773040703663296</v>
      </c>
      <c r="BQ79" s="4">
        <f>+BQ14/BP14-1</f>
        <v>8.53415895098244E-2</v>
      </c>
    </row>
    <row r="81" spans="2:69">
      <c r="B81" s="1" t="s">
        <v>89</v>
      </c>
      <c r="BE81" s="4">
        <f>+(BE19-BD19)/(BE10-BD10)</f>
        <v>0.15112411624652405</v>
      </c>
      <c r="BF81" s="4">
        <f>+(BF19-BE19)/(BF10-BE10)</f>
        <v>4.4505090794583813E-2</v>
      </c>
      <c r="BG81" s="4">
        <f>+(BG19-BF19)/(BG10-BF10)</f>
        <v>7.9191222451725385E-2</v>
      </c>
      <c r="BH81" s="4">
        <f>+(BH19-BG19)/(BH10-BG10)</f>
        <v>2.3639532940137063E-2</v>
      </c>
      <c r="BI81" s="4">
        <f>+(BI19-BH19)/(BI10-BH10)</f>
        <v>-0.28602160277167638</v>
      </c>
      <c r="BJ81" s="4">
        <f>+(BJ19-BI19)/(BJ10-BI10)</f>
        <v>0.40465774152166045</v>
      </c>
      <c r="BK81" s="4">
        <f>+(BK19-BJ19)/(BK10-BJ10)</f>
        <v>0.50243771171684559</v>
      </c>
      <c r="BL81" s="4">
        <f>+(BL19-BK19)/(BL10-BK10)</f>
        <v>-1.0383428893708911E-2</v>
      </c>
      <c r="BM81" s="4">
        <f>+(BM19-BL19)/(BM10-BL10)</f>
        <v>0.21744636357618705</v>
      </c>
      <c r="BN81" s="4">
        <f>+(BN19-BM19)/(BN10-BM10)</f>
        <v>0.23666103423716864</v>
      </c>
      <c r="BO81" s="4">
        <f>+(BO19-BN19)/(BO10-BN10)</f>
        <v>0.26553655467254872</v>
      </c>
      <c r="BP81" s="4">
        <f>+(BP19-BO19)/(BP10-BO10)</f>
        <v>0.22840793505780516</v>
      </c>
      <c r="BQ81" s="4">
        <f>+(BQ19-BP19)/(BQ10-BP10)</f>
        <v>0.18000608243395083</v>
      </c>
    </row>
    <row r="83" spans="2:69">
      <c r="B83" s="1" t="s">
        <v>35</v>
      </c>
      <c r="BC83" s="3">
        <v>2371</v>
      </c>
      <c r="BD83" s="3">
        <f>+BD24</f>
        <v>3033</v>
      </c>
      <c r="BE83" s="3">
        <f>+BE24</f>
        <v>10073</v>
      </c>
      <c r="BF83" s="3">
        <v>11588</v>
      </c>
      <c r="BG83" s="3">
        <f>+BG24</f>
        <v>21331</v>
      </c>
      <c r="BH83" s="3">
        <f>+BH24</f>
        <v>33360</v>
      </c>
      <c r="BI83" s="3">
        <f>+BI24</f>
        <v>-2719</v>
      </c>
      <c r="BJ83" s="3">
        <f>+BJ24</f>
        <v>30437</v>
      </c>
      <c r="BK83" s="3">
        <v>59248</v>
      </c>
    </row>
    <row r="84" spans="2:69">
      <c r="B84" s="1" t="s">
        <v>153</v>
      </c>
      <c r="BC84" s="3">
        <v>8116</v>
      </c>
      <c r="BD84" s="3">
        <v>11478</v>
      </c>
      <c r="BE84" s="3">
        <v>15341</v>
      </c>
      <c r="BF84" s="3">
        <v>21789</v>
      </c>
      <c r="BG84" s="3">
        <v>25251</v>
      </c>
      <c r="BH84" s="3">
        <v>34433</v>
      </c>
      <c r="BI84" s="3">
        <v>41921</v>
      </c>
      <c r="BJ84" s="3">
        <v>48663</v>
      </c>
      <c r="BK84" s="3">
        <v>52795</v>
      </c>
    </row>
    <row r="85" spans="2:69">
      <c r="B85" s="1" t="s">
        <v>40</v>
      </c>
      <c r="BC85" s="3">
        <v>2975</v>
      </c>
      <c r="BD85" s="3">
        <v>4215</v>
      </c>
      <c r="BE85" s="3">
        <v>5418</v>
      </c>
      <c r="BF85" s="3">
        <v>6864</v>
      </c>
      <c r="BG85" s="3">
        <v>9208</v>
      </c>
      <c r="BH85" s="3">
        <v>12757</v>
      </c>
      <c r="BI85" s="3">
        <v>19621</v>
      </c>
      <c r="BJ85" s="3">
        <v>24023</v>
      </c>
      <c r="BK85" s="3">
        <v>22011</v>
      </c>
    </row>
    <row r="86" spans="2:69">
      <c r="B86" s="1" t="s">
        <v>28</v>
      </c>
      <c r="BC86" s="3">
        <v>160</v>
      </c>
      <c r="BD86" s="3">
        <v>202</v>
      </c>
      <c r="BE86" s="3">
        <v>274</v>
      </c>
      <c r="BF86" s="3">
        <v>164</v>
      </c>
      <c r="BG86" s="3">
        <v>-71</v>
      </c>
      <c r="BH86" s="3">
        <v>137</v>
      </c>
      <c r="BI86" s="3">
        <v>16966</v>
      </c>
      <c r="BJ86" s="3">
        <v>-748</v>
      </c>
      <c r="BK86" s="3">
        <v>2012</v>
      </c>
    </row>
    <row r="87" spans="2:69">
      <c r="B87" s="1" t="s">
        <v>154</v>
      </c>
      <c r="BC87" s="3">
        <v>-20</v>
      </c>
      <c r="BD87" s="3">
        <v>-292</v>
      </c>
      <c r="BE87" s="3">
        <v>219</v>
      </c>
      <c r="BF87" s="3">
        <v>-249</v>
      </c>
      <c r="BG87" s="3">
        <v>-2582</v>
      </c>
      <c r="BH87" s="3">
        <v>-14306</v>
      </c>
      <c r="BI87" s="3">
        <v>-8148</v>
      </c>
      <c r="BJ87" s="3">
        <v>-5876</v>
      </c>
      <c r="BK87" s="3">
        <v>-4648</v>
      </c>
    </row>
    <row r="88" spans="2:69">
      <c r="B88" s="1" t="s">
        <v>155</v>
      </c>
      <c r="BC88" s="3">
        <v>-246</v>
      </c>
      <c r="BD88" s="3">
        <v>-29</v>
      </c>
      <c r="BE88" s="3">
        <v>441</v>
      </c>
      <c r="BF88" s="3">
        <v>796</v>
      </c>
      <c r="BG88" s="3">
        <v>-554</v>
      </c>
      <c r="BH88" s="3">
        <v>-310</v>
      </c>
      <c r="BI88" s="3">
        <v>-2592</v>
      </c>
      <c r="BJ88" s="3">
        <v>1449</v>
      </c>
      <c r="BK88" s="3">
        <v>-1884</v>
      </c>
    </row>
    <row r="89" spans="2:69">
      <c r="B89" s="1" t="s">
        <v>156</v>
      </c>
      <c r="BC89" s="3">
        <v>-1426</v>
      </c>
      <c r="BD89" s="3">
        <v>-3583</v>
      </c>
      <c r="BE89" s="3">
        <v>-1314</v>
      </c>
      <c r="BF89" s="3">
        <v>-3278</v>
      </c>
      <c r="BG89" s="3">
        <v>-2849</v>
      </c>
      <c r="BH89" s="3">
        <v>-9487</v>
      </c>
      <c r="BI89" s="3">
        <v>-8622</v>
      </c>
      <c r="BJ89" s="3">
        <v>-8348</v>
      </c>
      <c r="BK89" s="3">
        <v>-3249</v>
      </c>
    </row>
    <row r="90" spans="2:69">
      <c r="B90" s="1" t="s">
        <v>140</v>
      </c>
      <c r="BC90" s="3">
        <v>-3367</v>
      </c>
      <c r="BD90" s="3">
        <v>-4786</v>
      </c>
      <c r="BE90" s="3">
        <v>-4615</v>
      </c>
      <c r="BF90" s="3">
        <v>-7681</v>
      </c>
      <c r="BG90" s="3">
        <v>-8169</v>
      </c>
      <c r="BH90" s="3">
        <v>-18163</v>
      </c>
      <c r="BI90" s="3">
        <v>-13275</v>
      </c>
      <c r="BJ90" s="3">
        <v>-12265</v>
      </c>
      <c r="BK90" s="3">
        <v>-14483</v>
      </c>
    </row>
    <row r="91" spans="2:69">
      <c r="B91" s="1" t="s">
        <v>145</v>
      </c>
      <c r="BC91" s="3">
        <v>5030</v>
      </c>
      <c r="BD91" s="3">
        <v>7175</v>
      </c>
      <c r="BE91" s="3">
        <v>3263</v>
      </c>
      <c r="BF91" s="3">
        <v>8193</v>
      </c>
      <c r="BG91" s="3">
        <v>17480</v>
      </c>
      <c r="BH91" s="3">
        <v>3602</v>
      </c>
      <c r="BI91" s="3">
        <v>2945</v>
      </c>
      <c r="BJ91" s="3">
        <v>5473</v>
      </c>
      <c r="BK91" s="3">
        <v>2972</v>
      </c>
    </row>
    <row r="92" spans="2:69">
      <c r="B92" s="1" t="s">
        <v>146</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BC92" s="3">
        <v>1724</v>
      </c>
      <c r="BD92" s="3">
        <v>283</v>
      </c>
      <c r="BE92" s="3">
        <v>472</v>
      </c>
      <c r="BF92" s="3">
        <v>-1383</v>
      </c>
      <c r="BG92" s="3">
        <v>5754</v>
      </c>
      <c r="BH92" s="3">
        <v>2123</v>
      </c>
      <c r="BI92" s="3">
        <v>-1558</v>
      </c>
      <c r="BJ92" s="3">
        <v>-2428</v>
      </c>
      <c r="BK92" s="3">
        <v>-2904</v>
      </c>
    </row>
    <row r="93" spans="2:69">
      <c r="B93" s="1" t="s">
        <v>147</v>
      </c>
      <c r="BC93" s="3">
        <v>1955</v>
      </c>
      <c r="BD93" s="3">
        <v>738</v>
      </c>
      <c r="BE93" s="3">
        <v>1151</v>
      </c>
      <c r="BF93" s="3">
        <v>1711</v>
      </c>
      <c r="BG93" s="3">
        <v>1265</v>
      </c>
      <c r="BH93" s="3">
        <v>2314</v>
      </c>
      <c r="BI93" s="3">
        <v>2216</v>
      </c>
      <c r="BJ93" s="3">
        <v>4578</v>
      </c>
      <c r="BK93" s="3">
        <v>4007</v>
      </c>
    </row>
    <row r="94" spans="2:69">
      <c r="B94" s="1" t="s">
        <v>38</v>
      </c>
      <c r="BC94" s="3">
        <f>+SUM(BC83:BC93)</f>
        <v>17272</v>
      </c>
      <c r="BD94" s="3">
        <f t="shared" ref="BD94:BK94" si="175">+SUM(BD83:BD93)</f>
        <v>18434</v>
      </c>
      <c r="BE94" s="3">
        <f t="shared" si="175"/>
        <v>30723</v>
      </c>
      <c r="BF94" s="3">
        <f t="shared" si="175"/>
        <v>38514</v>
      </c>
      <c r="BG94" s="3">
        <f t="shared" si="175"/>
        <v>66064</v>
      </c>
      <c r="BH94" s="3">
        <f t="shared" si="175"/>
        <v>46460</v>
      </c>
      <c r="BI94" s="3">
        <f t="shared" si="175"/>
        <v>46755</v>
      </c>
      <c r="BJ94" s="3">
        <f t="shared" si="175"/>
        <v>84958</v>
      </c>
      <c r="BK94" s="3">
        <f t="shared" si="175"/>
        <v>115877</v>
      </c>
    </row>
    <row r="95" spans="2:69">
      <c r="BC95" s="3"/>
      <c r="BD95" s="3"/>
      <c r="BE95" s="3"/>
      <c r="BF95" s="3"/>
      <c r="BG95" s="3"/>
      <c r="BH95" s="3"/>
      <c r="BI95" s="3"/>
      <c r="BJ95" s="3"/>
      <c r="BK95" s="3"/>
    </row>
    <row r="96" spans="2:69">
      <c r="B96" s="1" t="s">
        <v>157</v>
      </c>
      <c r="BC96" s="3">
        <v>-7804</v>
      </c>
      <c r="BD96" s="3">
        <v>-11955</v>
      </c>
      <c r="BE96" s="3">
        <v>-13427</v>
      </c>
      <c r="BF96" s="3">
        <v>-16861</v>
      </c>
      <c r="BG96" s="3">
        <v>-40140</v>
      </c>
      <c r="BH96" s="3">
        <v>-61053</v>
      </c>
      <c r="BI96" s="3">
        <v>-63645</v>
      </c>
      <c r="BJ96" s="3">
        <v>-52729</v>
      </c>
      <c r="BK96" s="3">
        <v>-82999</v>
      </c>
    </row>
    <row r="97" spans="2:63">
      <c r="B97" s="1" t="s">
        <v>158</v>
      </c>
      <c r="BC97" s="3">
        <v>1067</v>
      </c>
      <c r="BD97" s="3">
        <v>1897</v>
      </c>
      <c r="BE97" s="3">
        <v>2104</v>
      </c>
      <c r="BF97" s="3">
        <v>4172</v>
      </c>
      <c r="BG97" s="3">
        <v>5096</v>
      </c>
      <c r="BH97" s="3">
        <v>5657</v>
      </c>
      <c r="BI97" s="3">
        <v>5324</v>
      </c>
      <c r="BJ97" s="3">
        <v>4596</v>
      </c>
      <c r="BK97" s="3">
        <v>5341</v>
      </c>
    </row>
    <row r="98" spans="2:63">
      <c r="B98" s="1" t="s">
        <v>159</v>
      </c>
      <c r="BC98" s="3">
        <v>-116</v>
      </c>
      <c r="BD98" s="3">
        <v>-13972</v>
      </c>
      <c r="BE98" s="3">
        <v>-2186</v>
      </c>
      <c r="BF98" s="3">
        <v>-2461</v>
      </c>
      <c r="BG98" s="3">
        <v>-2325</v>
      </c>
      <c r="BH98" s="3">
        <v>-1985</v>
      </c>
      <c r="BI98" s="3">
        <v>-8316</v>
      </c>
      <c r="BJ98" s="3">
        <v>-5839</v>
      </c>
      <c r="BK98" s="3">
        <v>-7082</v>
      </c>
    </row>
    <row r="99" spans="2:63">
      <c r="B99" s="1" t="s">
        <v>160</v>
      </c>
      <c r="BC99" s="3">
        <v>4733</v>
      </c>
      <c r="BD99" s="3">
        <v>9988</v>
      </c>
      <c r="BE99" s="3">
        <v>8240</v>
      </c>
      <c r="BF99" s="3">
        <v>22681</v>
      </c>
      <c r="BG99" s="3">
        <v>50237</v>
      </c>
      <c r="BH99" s="3">
        <v>59384</v>
      </c>
      <c r="BI99" s="3">
        <v>31601</v>
      </c>
      <c r="BJ99" s="3">
        <v>5627</v>
      </c>
      <c r="BK99" s="3">
        <v>16403</v>
      </c>
    </row>
    <row r="100" spans="2:63">
      <c r="B100" s="1" t="s">
        <v>161</v>
      </c>
      <c r="BC100" s="3">
        <v>-7756</v>
      </c>
      <c r="BD100" s="3">
        <v>-13777</v>
      </c>
      <c r="BE100" s="3">
        <v>-7100</v>
      </c>
      <c r="BF100" s="3">
        <v>-31812</v>
      </c>
      <c r="BG100" s="3">
        <v>-72479</v>
      </c>
      <c r="BH100" s="3">
        <v>-60157</v>
      </c>
      <c r="BI100" s="3">
        <v>-2565</v>
      </c>
      <c r="BJ100" s="3">
        <v>-1488</v>
      </c>
      <c r="BK100" s="3">
        <v>-26005</v>
      </c>
    </row>
    <row r="101" spans="2:63">
      <c r="B101" s="1" t="s">
        <v>162</v>
      </c>
      <c r="BC101" s="3">
        <f>+SUM(BC96:BC100)</f>
        <v>-9876</v>
      </c>
      <c r="BD101" s="3">
        <f t="shared" ref="BD101:BK101" si="176">+SUM(BD96:BD100)</f>
        <v>-27819</v>
      </c>
      <c r="BE101" s="3">
        <f t="shared" si="176"/>
        <v>-12369</v>
      </c>
      <c r="BF101" s="3">
        <f t="shared" si="176"/>
        <v>-24281</v>
      </c>
      <c r="BG101" s="3">
        <f t="shared" si="176"/>
        <v>-59611</v>
      </c>
      <c r="BH101" s="3">
        <f t="shared" si="176"/>
        <v>-58154</v>
      </c>
      <c r="BI101" s="3">
        <f t="shared" si="176"/>
        <v>-37601</v>
      </c>
      <c r="BJ101" s="3">
        <f t="shared" si="176"/>
        <v>-49833</v>
      </c>
      <c r="BK101" s="3">
        <f t="shared" si="176"/>
        <v>-94342</v>
      </c>
    </row>
    <row r="102" spans="2:63">
      <c r="BC102" s="3"/>
      <c r="BD102" s="3"/>
      <c r="BE102" s="3"/>
      <c r="BF102" s="3"/>
      <c r="BG102" s="3"/>
      <c r="BH102" s="3"/>
      <c r="BI102" s="3"/>
      <c r="BJ102" s="3"/>
      <c r="BK102" s="3"/>
    </row>
    <row r="103" spans="2:63">
      <c r="B103" s="1" t="s">
        <v>174</v>
      </c>
      <c r="BC103" s="3"/>
      <c r="BD103" s="3"/>
      <c r="BE103" s="3"/>
      <c r="BF103" s="3"/>
      <c r="BG103" s="3">
        <v>0</v>
      </c>
      <c r="BH103" s="3">
        <v>0</v>
      </c>
      <c r="BI103" s="3">
        <v>-6000</v>
      </c>
      <c r="BJ103" s="3">
        <v>0</v>
      </c>
      <c r="BK103" s="3">
        <v>0</v>
      </c>
    </row>
    <row r="104" spans="2:63">
      <c r="B104" s="1" t="s">
        <v>172</v>
      </c>
      <c r="BC104" s="3"/>
      <c r="BD104" s="3"/>
      <c r="BE104" s="3"/>
      <c r="BF104" s="3"/>
      <c r="BG104" s="3">
        <v>6796</v>
      </c>
      <c r="BH104" s="3">
        <v>7956</v>
      </c>
      <c r="BI104" s="3">
        <v>41553</v>
      </c>
      <c r="BJ104" s="3">
        <v>18129</v>
      </c>
      <c r="BK104" s="3">
        <v>5142</v>
      </c>
    </row>
    <row r="105" spans="2:63">
      <c r="B105" s="1" t="s">
        <v>173</v>
      </c>
      <c r="BC105" s="3"/>
      <c r="BD105" s="3"/>
      <c r="BE105" s="3"/>
      <c r="BF105" s="3"/>
      <c r="BG105" s="3">
        <v>-6177</v>
      </c>
      <c r="BH105" s="3">
        <v>-7753</v>
      </c>
      <c r="BI105" s="3">
        <v>-37554</v>
      </c>
      <c r="BJ105" s="3">
        <v>-25677</v>
      </c>
      <c r="BK105" s="3">
        <v>-5060</v>
      </c>
    </row>
    <row r="106" spans="2:63">
      <c r="B106" s="1" t="s">
        <v>163</v>
      </c>
      <c r="BC106" s="3">
        <v>621</v>
      </c>
      <c r="BD106" s="3">
        <v>16231</v>
      </c>
      <c r="BE106" s="3">
        <v>768</v>
      </c>
      <c r="BF106" s="3">
        <v>2273</v>
      </c>
      <c r="BG106" s="3">
        <v>10525</v>
      </c>
      <c r="BH106" s="3">
        <v>19003</v>
      </c>
      <c r="BI106" s="3">
        <v>21166</v>
      </c>
      <c r="BJ106" s="3">
        <v>0</v>
      </c>
      <c r="BK106" s="3">
        <v>0</v>
      </c>
    </row>
    <row r="107" spans="2:63">
      <c r="B107" s="1" t="s">
        <v>164</v>
      </c>
      <c r="BC107" s="3">
        <v>-354</v>
      </c>
      <c r="BD107" s="3">
        <v>-1372</v>
      </c>
      <c r="BE107" s="3">
        <v>-668</v>
      </c>
      <c r="BF107" s="3">
        <v>-2684</v>
      </c>
      <c r="BG107" s="3">
        <v>-1553</v>
      </c>
      <c r="BH107" s="3">
        <v>-1590</v>
      </c>
      <c r="BI107" s="3">
        <v>-1258</v>
      </c>
      <c r="BJ107" s="3">
        <v>-3676</v>
      </c>
      <c r="BK107" s="3">
        <v>-9182</v>
      </c>
    </row>
    <row r="108" spans="2:63">
      <c r="B108" s="1" t="s">
        <v>166</v>
      </c>
      <c r="BC108" s="3">
        <v>-3860</v>
      </c>
      <c r="BD108" s="3">
        <v>-4799</v>
      </c>
      <c r="BE108" s="3">
        <v>-7449</v>
      </c>
      <c r="BF108" s="3">
        <v>-9628</v>
      </c>
      <c r="BG108" s="3">
        <v>-10642</v>
      </c>
      <c r="BH108" s="3">
        <v>-11163</v>
      </c>
      <c r="BI108" s="3">
        <v>-7941</v>
      </c>
      <c r="BJ108" s="3">
        <v>-4384</v>
      </c>
      <c r="BK108" s="3">
        <v>-2043</v>
      </c>
    </row>
    <row r="109" spans="2:63">
      <c r="B109" s="1" t="s">
        <v>165</v>
      </c>
      <c r="BC109" s="3">
        <v>-147</v>
      </c>
      <c r="BD109" s="3">
        <v>-200</v>
      </c>
      <c r="BE109" s="3">
        <v>-337</v>
      </c>
      <c r="BF109" s="3">
        <v>-27</v>
      </c>
      <c r="BG109" s="3">
        <v>-53</v>
      </c>
      <c r="BH109" s="3">
        <v>-162</v>
      </c>
      <c r="BI109" s="3">
        <v>-248</v>
      </c>
      <c r="BJ109" s="3">
        <v>-271</v>
      </c>
      <c r="BK109" s="3">
        <v>-669</v>
      </c>
    </row>
    <row r="110" spans="2:63">
      <c r="B110" s="1" t="s">
        <v>167</v>
      </c>
      <c r="BC110" s="3">
        <f t="shared" ref="BC110:BH110" si="177">+SUM(BC103:BC109)</f>
        <v>-3740</v>
      </c>
      <c r="BD110" s="3">
        <f t="shared" si="177"/>
        <v>9860</v>
      </c>
      <c r="BE110" s="3">
        <f t="shared" si="177"/>
        <v>-7686</v>
      </c>
      <c r="BF110" s="3">
        <f t="shared" si="177"/>
        <v>-10066</v>
      </c>
      <c r="BG110" s="3">
        <f t="shared" si="177"/>
        <v>-1104</v>
      </c>
      <c r="BH110" s="3">
        <f t="shared" si="177"/>
        <v>6291</v>
      </c>
      <c r="BI110" s="3">
        <f>+SUM(BI103:BI109)</f>
        <v>9718</v>
      </c>
      <c r="BJ110" s="3">
        <f t="shared" ref="BJ110:BK110" si="178">+SUM(BJ103:BJ109)</f>
        <v>-15879</v>
      </c>
      <c r="BK110" s="3">
        <f t="shared" si="178"/>
        <v>-11812</v>
      </c>
    </row>
    <row r="111" spans="2:63">
      <c r="B111" s="1" t="s">
        <v>168</v>
      </c>
      <c r="BC111" s="3">
        <v>-212</v>
      </c>
      <c r="BD111" s="3">
        <v>713</v>
      </c>
      <c r="BE111" s="3">
        <v>-351</v>
      </c>
      <c r="BF111" s="3">
        <v>70</v>
      </c>
      <c r="BG111" s="3">
        <v>618</v>
      </c>
      <c r="BH111" s="3">
        <v>-364</v>
      </c>
      <c r="BI111" s="3">
        <v>-1093</v>
      </c>
      <c r="BJ111" s="3">
        <v>403</v>
      </c>
      <c r="BK111" s="3">
        <v>-1301</v>
      </c>
    </row>
    <row r="112" spans="2:63">
      <c r="B112" s="1" t="s">
        <v>169</v>
      </c>
      <c r="BC112" s="3">
        <f t="shared" ref="BC112:BK112" si="179">+BC94+BC101+BC110+BC111</f>
        <v>3444</v>
      </c>
      <c r="BD112" s="3">
        <f t="shared" si="179"/>
        <v>1188</v>
      </c>
      <c r="BE112" s="3">
        <f t="shared" si="179"/>
        <v>10317</v>
      </c>
      <c r="BF112" s="3">
        <f t="shared" si="179"/>
        <v>4237</v>
      </c>
      <c r="BG112" s="3">
        <f t="shared" si="179"/>
        <v>5967</v>
      </c>
      <c r="BH112" s="3">
        <f t="shared" si="179"/>
        <v>-5767</v>
      </c>
      <c r="BI112" s="3">
        <f t="shared" si="179"/>
        <v>17779</v>
      </c>
      <c r="BJ112" s="3">
        <f t="shared" si="179"/>
        <v>19649</v>
      </c>
      <c r="BK112" s="3">
        <f t="shared" si="179"/>
        <v>8422</v>
      </c>
    </row>
    <row r="117" spans="2:63">
      <c r="B117" s="2" t="s">
        <v>90</v>
      </c>
    </row>
    <row r="118" spans="2:63">
      <c r="B118" s="12" t="s">
        <v>125</v>
      </c>
      <c r="C118" s="4"/>
      <c r="D118" s="4"/>
      <c r="E118" s="4"/>
      <c r="F118" s="4"/>
      <c r="G118" s="4"/>
      <c r="H118" s="4"/>
      <c r="I118" s="4"/>
      <c r="J118" s="4"/>
      <c r="K118" s="4"/>
      <c r="L118" s="4"/>
      <c r="M118" s="4"/>
      <c r="N118" s="4"/>
      <c r="O118" s="4"/>
      <c r="P118" s="4"/>
      <c r="Q118" s="4"/>
      <c r="R118" s="4"/>
      <c r="S118" s="4"/>
      <c r="T118" s="4"/>
      <c r="U118" s="4"/>
      <c r="V118" s="4"/>
      <c r="W118" s="4"/>
      <c r="X118" s="4">
        <f>+main!P3</f>
        <v>0.33</v>
      </c>
      <c r="Y118" s="4"/>
      <c r="Z118" s="4"/>
      <c r="AA118" s="4"/>
      <c r="AB118" s="4">
        <f>+main!O3</f>
        <v>0.34</v>
      </c>
      <c r="AC118" s="4"/>
      <c r="AD118" s="4"/>
      <c r="AE118" s="4"/>
      <c r="AF118" s="4">
        <f>+main!N3</f>
        <v>0.33</v>
      </c>
      <c r="AG118" s="4"/>
      <c r="AH118" s="4"/>
      <c r="AI118" s="4"/>
      <c r="AJ118" s="4">
        <f>+main!M3</f>
        <v>0.32</v>
      </c>
      <c r="AL118" s="4">
        <v>0.3</v>
      </c>
    </row>
    <row r="119" spans="2:63">
      <c r="B119" s="12" t="s">
        <v>91</v>
      </c>
      <c r="C119" s="4"/>
      <c r="D119" s="4"/>
      <c r="E119" s="4"/>
      <c r="F119" s="4"/>
      <c r="G119" s="4"/>
      <c r="H119" s="4"/>
      <c r="I119" s="4"/>
      <c r="J119" s="4"/>
      <c r="K119" s="4"/>
      <c r="L119" s="4"/>
      <c r="M119" s="4"/>
      <c r="N119" s="4"/>
      <c r="O119" s="4"/>
      <c r="P119" s="4"/>
      <c r="Q119" s="4"/>
      <c r="R119" s="4"/>
      <c r="S119" s="4"/>
      <c r="T119" s="4"/>
      <c r="U119" s="4"/>
      <c r="V119" s="4"/>
      <c r="W119" s="4"/>
      <c r="X119" s="4">
        <f>+main!P4</f>
        <v>0.2</v>
      </c>
      <c r="Y119" s="4"/>
      <c r="Z119" s="4"/>
      <c r="AA119" s="4"/>
      <c r="AB119" s="4">
        <f>+main!O4</f>
        <v>0.21</v>
      </c>
      <c r="AC119" s="4"/>
      <c r="AD119" s="4"/>
      <c r="AE119" s="4"/>
      <c r="AF119" s="4">
        <f>+main!N4</f>
        <v>0.22</v>
      </c>
      <c r="AG119" s="4"/>
      <c r="AH119" s="4"/>
      <c r="AI119" s="4"/>
      <c r="AJ119" s="4">
        <f>+main!M4</f>
        <v>0.23</v>
      </c>
      <c r="AL119" s="4">
        <v>0.21</v>
      </c>
    </row>
    <row r="120" spans="2:63">
      <c r="B120" s="12" t="s">
        <v>92</v>
      </c>
      <c r="C120" s="4"/>
      <c r="D120" s="4"/>
      <c r="E120" s="4"/>
      <c r="F120" s="4"/>
      <c r="G120" s="4"/>
      <c r="H120" s="4"/>
      <c r="I120" s="4"/>
      <c r="J120" s="4"/>
      <c r="K120" s="4"/>
      <c r="L120" s="4"/>
      <c r="M120" s="4"/>
      <c r="N120" s="4"/>
      <c r="O120" s="4"/>
      <c r="P120" s="4"/>
      <c r="Q120" s="4"/>
      <c r="R120" s="4"/>
      <c r="S120" s="4"/>
      <c r="T120" s="4"/>
      <c r="U120" s="4"/>
      <c r="V120" s="4"/>
      <c r="W120" s="4"/>
      <c r="X120" s="4">
        <f>+main!P5</f>
        <v>0.08</v>
      </c>
      <c r="Y120" s="4"/>
      <c r="Z120" s="4"/>
      <c r="AA120" s="4"/>
      <c r="AB120" s="4">
        <f>+main!O5</f>
        <v>0.09</v>
      </c>
      <c r="AC120" s="4"/>
      <c r="AD120" s="4"/>
      <c r="AE120" s="4"/>
      <c r="AF120" s="4">
        <f>+main!N5</f>
        <v>0.1</v>
      </c>
      <c r="AG120" s="4"/>
      <c r="AH120" s="4"/>
      <c r="AI120" s="4"/>
      <c r="AJ120" s="4">
        <f>+main!M5</f>
        <v>0.12</v>
      </c>
      <c r="AL120" s="4">
        <v>0.12</v>
      </c>
    </row>
    <row r="121" spans="2:63">
      <c r="B121" s="12" t="s">
        <v>93</v>
      </c>
      <c r="C121" s="4"/>
      <c r="D121" s="4"/>
      <c r="E121" s="4"/>
      <c r="F121" s="4"/>
      <c r="G121" s="4"/>
      <c r="H121" s="4"/>
      <c r="I121" s="4"/>
      <c r="J121" s="4"/>
      <c r="K121" s="4"/>
      <c r="L121" s="4"/>
      <c r="M121" s="4"/>
      <c r="N121" s="4"/>
      <c r="O121" s="4"/>
      <c r="P121" s="4"/>
      <c r="Q121" s="4"/>
      <c r="R121" s="4"/>
      <c r="S121" s="4"/>
      <c r="T121" s="4"/>
      <c r="U121" s="4"/>
      <c r="V121" s="4"/>
      <c r="W121" s="4"/>
      <c r="X121" s="4">
        <f>+main!P6</f>
        <v>0.06</v>
      </c>
      <c r="Y121" s="4"/>
      <c r="Z121" s="4"/>
      <c r="AA121" s="4"/>
      <c r="AB121" s="4">
        <f>+main!O6</f>
        <v>0.05</v>
      </c>
      <c r="AC121" s="4"/>
      <c r="AD121" s="4"/>
      <c r="AE121" s="4"/>
      <c r="AF121" s="4">
        <f>+main!N6</f>
        <v>0.04</v>
      </c>
      <c r="AG121" s="4"/>
      <c r="AH121" s="4"/>
      <c r="AI121" s="4"/>
      <c r="AJ121" s="4">
        <f>+main!M6</f>
        <v>0.04</v>
      </c>
      <c r="AL121" s="4">
        <v>0.04</v>
      </c>
    </row>
    <row r="122" spans="2:63">
      <c r="B122" s="12" t="s">
        <v>126</v>
      </c>
      <c r="C122" s="4"/>
      <c r="D122" s="4"/>
      <c r="E122" s="4"/>
      <c r="F122" s="4"/>
      <c r="G122" s="4"/>
      <c r="H122" s="4"/>
      <c r="I122" s="4"/>
      <c r="J122" s="4"/>
      <c r="K122" s="4"/>
      <c r="L122" s="4"/>
      <c r="M122" s="4"/>
      <c r="N122" s="4"/>
      <c r="O122" s="4"/>
      <c r="P122" s="4"/>
      <c r="Q122" s="4"/>
      <c r="R122" s="4"/>
      <c r="S122" s="4"/>
      <c r="T122" s="4"/>
      <c r="U122" s="4"/>
      <c r="V122" s="4"/>
      <c r="W122" s="4"/>
      <c r="X122" s="4">
        <f>+main!P7</f>
        <v>0.02</v>
      </c>
      <c r="Y122" s="4"/>
      <c r="Z122" s="4"/>
      <c r="AA122" s="4"/>
      <c r="AB122" s="4">
        <f>+main!O7</f>
        <v>0.02</v>
      </c>
      <c r="AC122" s="4"/>
      <c r="AD122" s="4"/>
      <c r="AE122" s="4"/>
      <c r="AF122" s="4">
        <f>+main!N7</f>
        <v>0.02</v>
      </c>
      <c r="AG122" s="4"/>
      <c r="AH122" s="4"/>
      <c r="AI122" s="4"/>
      <c r="AJ122" s="4">
        <f>+main!M7</f>
        <v>0.03</v>
      </c>
      <c r="AL122" s="4">
        <v>0.03</v>
      </c>
    </row>
    <row r="123" spans="2:63">
      <c r="B123" s="12" t="s">
        <v>94</v>
      </c>
      <c r="C123" s="4"/>
      <c r="D123" s="4"/>
      <c r="E123" s="4"/>
      <c r="F123" s="4"/>
      <c r="G123" s="4"/>
      <c r="H123" s="4"/>
      <c r="I123" s="4"/>
      <c r="J123" s="4"/>
      <c r="K123" s="4"/>
      <c r="L123" s="4"/>
      <c r="M123" s="4"/>
      <c r="N123" s="4"/>
      <c r="O123" s="4"/>
      <c r="P123" s="4"/>
      <c r="Q123" s="4"/>
      <c r="R123" s="4"/>
      <c r="S123" s="4"/>
      <c r="T123" s="4"/>
      <c r="U123" s="4"/>
      <c r="V123" s="4"/>
      <c r="W123" s="4"/>
      <c r="X123" s="4">
        <f>+main!P8</f>
        <v>0.03</v>
      </c>
      <c r="Y123" s="4"/>
      <c r="Z123" s="4"/>
      <c r="AA123" s="4"/>
      <c r="AB123" s="4">
        <f>+main!O8</f>
        <v>0.03</v>
      </c>
      <c r="AC123" s="4"/>
      <c r="AD123" s="4"/>
      <c r="AE123" s="4"/>
      <c r="AF123" s="4">
        <f>+main!N8</f>
        <v>0.03</v>
      </c>
      <c r="AG123" s="4"/>
      <c r="AH123" s="4"/>
      <c r="AI123" s="4"/>
      <c r="AJ123" s="4">
        <f>+main!M8</f>
        <v>0.03</v>
      </c>
      <c r="AL123" s="4">
        <v>0.02</v>
      </c>
    </row>
    <row r="124" spans="2:63">
      <c r="B124" s="12" t="s">
        <v>95</v>
      </c>
      <c r="C124" s="4"/>
      <c r="D124" s="4"/>
      <c r="E124" s="4"/>
      <c r="F124" s="4"/>
      <c r="G124" s="4"/>
      <c r="H124" s="4"/>
      <c r="I124" s="4"/>
      <c r="J124" s="4"/>
      <c r="K124" s="4"/>
      <c r="L124" s="4"/>
      <c r="M124" s="4"/>
      <c r="N124" s="4"/>
      <c r="O124" s="4"/>
      <c r="P124" s="4"/>
      <c r="Q124" s="4"/>
      <c r="R124" s="4"/>
      <c r="S124" s="4"/>
      <c r="T124" s="4"/>
      <c r="U124" s="4"/>
      <c r="V124" s="4"/>
      <c r="W124" s="4"/>
      <c r="X124" s="4">
        <f>+main!P9</f>
        <v>0.02</v>
      </c>
      <c r="Y124" s="4"/>
      <c r="Z124" s="4"/>
      <c r="AA124" s="4"/>
      <c r="AB124" s="4">
        <f>+main!O9</f>
        <v>0.02</v>
      </c>
      <c r="AC124" s="4"/>
      <c r="AD124" s="4"/>
      <c r="AE124" s="4"/>
      <c r="AF124" s="4">
        <f>+main!N9</f>
        <v>0.02</v>
      </c>
      <c r="AG124" s="4"/>
      <c r="AH124" s="4"/>
      <c r="AI124" s="4"/>
      <c r="AJ124" s="4">
        <f>+main!M9</f>
        <v>0.02</v>
      </c>
      <c r="AL124" s="4">
        <v>0.02</v>
      </c>
    </row>
    <row r="125" spans="2:63">
      <c r="B125" s="12" t="s">
        <v>96</v>
      </c>
      <c r="C125" s="4"/>
      <c r="D125" s="4"/>
      <c r="E125" s="4"/>
      <c r="F125" s="4"/>
      <c r="G125" s="4"/>
      <c r="H125" s="4"/>
      <c r="I125" s="4"/>
      <c r="J125" s="4"/>
      <c r="K125" s="4"/>
      <c r="L125" s="4"/>
      <c r="M125" s="4"/>
      <c r="N125" s="4"/>
      <c r="O125" s="4"/>
      <c r="P125" s="4"/>
      <c r="Q125" s="4"/>
      <c r="R125" s="4"/>
      <c r="S125" s="4"/>
      <c r="T125" s="4"/>
      <c r="U125" s="4"/>
      <c r="V125" s="4"/>
      <c r="W125" s="4"/>
      <c r="X125" s="4">
        <f>+main!P10</f>
        <v>0.02</v>
      </c>
      <c r="Y125" s="4"/>
      <c r="Z125" s="4"/>
      <c r="AA125" s="4"/>
      <c r="AB125" s="4">
        <f>+main!O10</f>
        <v>0.02</v>
      </c>
      <c r="AC125" s="4"/>
      <c r="AD125" s="4"/>
      <c r="AE125" s="4"/>
      <c r="AF125" s="4">
        <f>+main!N10</f>
        <v>0.02</v>
      </c>
      <c r="AG125" s="4"/>
      <c r="AH125" s="4"/>
      <c r="AI125" s="4"/>
      <c r="AJ125" s="4">
        <f>+main!M10</f>
        <v>0.02</v>
      </c>
      <c r="AL125" s="4">
        <v>0.01</v>
      </c>
    </row>
    <row r="126" spans="2:63">
      <c r="B126" s="12" t="s">
        <v>127</v>
      </c>
      <c r="C126" s="4"/>
      <c r="D126" s="4"/>
      <c r="E126" s="4"/>
      <c r="F126" s="4"/>
      <c r="G126" s="4"/>
      <c r="H126" s="4"/>
      <c r="I126" s="4"/>
      <c r="J126" s="4"/>
      <c r="K126" s="4"/>
      <c r="L126" s="4"/>
      <c r="M126" s="4"/>
      <c r="N126" s="4"/>
      <c r="O126" s="4"/>
      <c r="P126" s="4"/>
      <c r="Q126" s="4"/>
      <c r="R126" s="4"/>
      <c r="S126" s="4"/>
      <c r="T126" s="4"/>
      <c r="U126" s="4"/>
      <c r="V126" s="4"/>
      <c r="W126" s="4"/>
      <c r="X126" s="4">
        <f>+main!P11</f>
        <v>0.24</v>
      </c>
      <c r="Y126" s="4"/>
      <c r="Z126" s="4"/>
      <c r="AA126" s="4"/>
      <c r="AB126" s="4">
        <f>+main!O11</f>
        <v>0.22</v>
      </c>
      <c r="AC126" s="4"/>
      <c r="AD126" s="4"/>
      <c r="AE126" s="4"/>
      <c r="AF126" s="4">
        <f>+main!N11</f>
        <v>0.22</v>
      </c>
      <c r="AG126" s="4"/>
      <c r="AH126" s="4"/>
      <c r="AI126" s="4"/>
      <c r="AJ126" s="4">
        <f>+main!M11</f>
        <v>0.19</v>
      </c>
      <c r="BK126" s="4"/>
    </row>
    <row r="128" spans="2:63">
      <c r="B128" s="1" t="s">
        <v>176</v>
      </c>
      <c r="BC128" s="3">
        <f t="shared" ref="BC128:BI128" si="180">-BC90-BC89-BC91</f>
        <v>-237</v>
      </c>
      <c r="BD128" s="3">
        <f t="shared" si="180"/>
        <v>1194</v>
      </c>
      <c r="BE128" s="3">
        <f t="shared" si="180"/>
        <v>2666</v>
      </c>
      <c r="BF128" s="3">
        <f t="shared" si="180"/>
        <v>2766</v>
      </c>
      <c r="BG128" s="3">
        <f t="shared" si="180"/>
        <v>-6462</v>
      </c>
      <c r="BH128" s="3">
        <f t="shared" si="180"/>
        <v>24048</v>
      </c>
      <c r="BI128" s="3">
        <f t="shared" si="180"/>
        <v>18952</v>
      </c>
      <c r="BJ128" s="3">
        <f>-BJ90-BJ89-BJ91</f>
        <v>15140</v>
      </c>
      <c r="BK128" s="3">
        <f t="shared" ref="BK128" si="181">-BK90-BK89-BK91</f>
        <v>14760</v>
      </c>
    </row>
  </sheetData>
  <hyperlinks>
    <hyperlink ref="A1" location="main!A1" display="Main" xr:uid="{0AAD5B3C-A792-42BE-9075-9E2598C9794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0165-7F06-46C8-8419-66B8757DB627}">
  <dimension ref="B1:D25"/>
  <sheetViews>
    <sheetView workbookViewId="0">
      <selection activeCell="B12" sqref="B12:D12"/>
    </sheetView>
  </sheetViews>
  <sheetFormatPr defaultRowHeight="14.4"/>
  <cols>
    <col min="2" max="2" width="18.6640625" bestFit="1" customWidth="1"/>
    <col min="4" max="4" width="51.6640625" bestFit="1" customWidth="1"/>
  </cols>
  <sheetData>
    <row r="1" spans="2:4">
      <c r="B1" s="33" t="s">
        <v>201</v>
      </c>
      <c r="C1" s="33"/>
      <c r="D1" s="33"/>
    </row>
    <row r="2" spans="2:4" ht="15" thickBot="1">
      <c r="B2" s="28" t="s">
        <v>184</v>
      </c>
      <c r="C2" s="29" t="s">
        <v>185</v>
      </c>
      <c r="D2" s="29" t="s">
        <v>186</v>
      </c>
    </row>
    <row r="3" spans="2:4" ht="15" thickBot="1">
      <c r="B3" s="30" t="s">
        <v>187</v>
      </c>
      <c r="C3" s="27">
        <v>61</v>
      </c>
      <c r="D3" s="22" t="s">
        <v>188</v>
      </c>
    </row>
    <row r="4" spans="2:4" ht="24.6" customHeight="1" thickBot="1">
      <c r="B4" s="31" t="s">
        <v>189</v>
      </c>
      <c r="C4" s="25">
        <v>57</v>
      </c>
      <c r="D4" s="23" t="s">
        <v>190</v>
      </c>
    </row>
    <row r="5" spans="2:4" ht="15" thickBot="1">
      <c r="B5" s="32" t="s">
        <v>191</v>
      </c>
      <c r="C5" s="26">
        <v>48</v>
      </c>
      <c r="D5" s="24" t="s">
        <v>192</v>
      </c>
    </row>
    <row r="6" spans="2:4" ht="15" thickBot="1">
      <c r="B6" s="31" t="s">
        <v>193</v>
      </c>
      <c r="C6" s="25">
        <v>58</v>
      </c>
      <c r="D6" s="23" t="s">
        <v>194</v>
      </c>
    </row>
    <row r="7" spans="2:4" ht="24.6" customHeight="1" thickBot="1">
      <c r="B7" s="32" t="s">
        <v>195</v>
      </c>
      <c r="C7" s="26">
        <v>61</v>
      </c>
      <c r="D7" s="24" t="s">
        <v>196</v>
      </c>
    </row>
    <row r="8" spans="2:4" ht="35.4" customHeight="1" thickBot="1">
      <c r="B8" s="31" t="s">
        <v>197</v>
      </c>
      <c r="C8" s="25">
        <v>60</v>
      </c>
      <c r="D8" s="23" t="s">
        <v>198</v>
      </c>
    </row>
    <row r="9" spans="2:4" ht="24.6" customHeight="1" thickBot="1">
      <c r="B9" s="32" t="s">
        <v>199</v>
      </c>
      <c r="C9" s="26">
        <v>61</v>
      </c>
      <c r="D9" s="24" t="s">
        <v>200</v>
      </c>
    </row>
    <row r="12" spans="2:4" ht="15" thickBot="1">
      <c r="B12" s="41" t="s">
        <v>202</v>
      </c>
      <c r="C12" s="41"/>
      <c r="D12" s="41"/>
    </row>
    <row r="13" spans="2:4" ht="15" thickBot="1">
      <c r="B13" s="40" t="s">
        <v>184</v>
      </c>
      <c r="C13" s="40" t="s">
        <v>185</v>
      </c>
      <c r="D13" s="40" t="s">
        <v>186</v>
      </c>
    </row>
    <row r="14" spans="2:4" ht="15" customHeight="1" thickBot="1">
      <c r="B14" s="36" t="s">
        <v>187</v>
      </c>
      <c r="C14" s="27">
        <v>61</v>
      </c>
      <c r="D14" s="22" t="s">
        <v>188</v>
      </c>
    </row>
    <row r="15" spans="2:4" ht="24.6" customHeight="1" thickBot="1">
      <c r="B15" s="37" t="s">
        <v>189</v>
      </c>
      <c r="C15" s="25">
        <v>57</v>
      </c>
      <c r="D15" s="23" t="s">
        <v>190</v>
      </c>
    </row>
    <row r="16" spans="2:4" ht="24.6" customHeight="1" thickBot="1">
      <c r="B16" s="38" t="s">
        <v>203</v>
      </c>
      <c r="C16" s="26">
        <v>73</v>
      </c>
      <c r="D16" s="24" t="s">
        <v>204</v>
      </c>
    </row>
    <row r="17" spans="2:4" ht="24.6" customHeight="1" thickBot="1">
      <c r="B17" s="39" t="s">
        <v>205</v>
      </c>
      <c r="C17" s="34">
        <v>63</v>
      </c>
      <c r="D17" s="35" t="s">
        <v>206</v>
      </c>
    </row>
    <row r="18" spans="2:4" ht="24.6" customHeight="1" thickBot="1">
      <c r="B18" s="38" t="s">
        <v>207</v>
      </c>
      <c r="C18" s="26">
        <v>74</v>
      </c>
      <c r="D18" s="24" t="s">
        <v>208</v>
      </c>
    </row>
    <row r="19" spans="2:4" ht="24.6" customHeight="1" thickBot="1">
      <c r="B19" s="37" t="s">
        <v>209</v>
      </c>
      <c r="C19" s="25">
        <v>66</v>
      </c>
      <c r="D19" s="23" t="s">
        <v>210</v>
      </c>
    </row>
    <row r="20" spans="2:4" ht="24.6" customHeight="1" thickBot="1">
      <c r="B20" s="38" t="s">
        <v>211</v>
      </c>
      <c r="C20" s="26">
        <v>48</v>
      </c>
      <c r="D20" s="24" t="s">
        <v>212</v>
      </c>
    </row>
    <row r="21" spans="2:4" ht="24.6" customHeight="1" thickBot="1">
      <c r="B21" s="37" t="s">
        <v>213</v>
      </c>
      <c r="C21" s="25">
        <v>69</v>
      </c>
      <c r="D21" s="23" t="s">
        <v>214</v>
      </c>
    </row>
    <row r="22" spans="2:4" ht="24.6" customHeight="1" thickBot="1">
      <c r="B22" s="38" t="s">
        <v>215</v>
      </c>
      <c r="C22" s="26">
        <v>68</v>
      </c>
      <c r="D22" s="24" t="s">
        <v>216</v>
      </c>
    </row>
    <row r="23" spans="2:4" ht="15" customHeight="1" thickBot="1">
      <c r="B23" s="37" t="s">
        <v>217</v>
      </c>
      <c r="C23" s="25">
        <v>60</v>
      </c>
      <c r="D23" s="23" t="s">
        <v>218</v>
      </c>
    </row>
    <row r="24" spans="2:4" ht="24.6" customHeight="1" thickBot="1">
      <c r="B24" s="38" t="s">
        <v>219</v>
      </c>
      <c r="C24" s="26">
        <v>68</v>
      </c>
      <c r="D24" s="24" t="s">
        <v>220</v>
      </c>
    </row>
    <row r="25" spans="2:4" ht="24.6" customHeight="1" thickBot="1">
      <c r="B25" s="37" t="s">
        <v>221</v>
      </c>
      <c r="C25" s="25">
        <v>65</v>
      </c>
      <c r="D25" s="23" t="s">
        <v>222</v>
      </c>
    </row>
  </sheetData>
  <mergeCells count="2">
    <mergeCell ref="B12:D1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alexandreduartemorais@gmail.com</dc:creator>
  <cp:lastModifiedBy>Alexandre Duarte Morais</cp:lastModifiedBy>
  <dcterms:created xsi:type="dcterms:W3CDTF">2024-07-04T12:42:45Z</dcterms:created>
  <dcterms:modified xsi:type="dcterms:W3CDTF">2025-04-03T17:22:22Z</dcterms:modified>
</cp:coreProperties>
</file>