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exa\OneDrive - ISEG\Desktop\Models\"/>
    </mc:Choice>
  </mc:AlternateContent>
  <xr:revisionPtr revIDLastSave="0" documentId="13_ncr:1_{1098E479-6D45-4E5F-85E8-F47A96F900A3}" xr6:coauthVersionLast="47" xr6:coauthVersionMax="47" xr10:uidLastSave="{00000000-0000-0000-0000-000000000000}"/>
  <bookViews>
    <workbookView xWindow="-108" yWindow="-108" windowWidth="23256" windowHeight="12456" activeTab="1" xr2:uid="{407585AE-1F7D-4D74-89A4-F5DF8D12E245}"/>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2" l="1"/>
  <c r="U2" i="2" s="1"/>
  <c r="V2" i="2" s="1"/>
  <c r="W2" i="2" s="1"/>
  <c r="X2" i="2" s="1"/>
  <c r="Y2" i="2" s="1"/>
  <c r="Z2" i="2" s="1"/>
  <c r="AA2" i="2" s="1"/>
  <c r="AB2" i="2" s="1"/>
  <c r="AC2" i="2" s="1"/>
  <c r="AD2" i="2" s="1"/>
  <c r="AE2" i="2" s="1"/>
  <c r="AF2" i="2" s="1"/>
  <c r="AG2" i="2" s="1"/>
  <c r="AH2" i="2" s="1"/>
  <c r="AI2" i="2" s="1"/>
  <c r="AJ2" i="2" s="1"/>
  <c r="AK2" i="2" s="1"/>
  <c r="AL2" i="2" s="1"/>
  <c r="AM2" i="2" s="1"/>
  <c r="AN2" i="2" s="1"/>
  <c r="O31" i="2"/>
  <c r="O30" i="2"/>
  <c r="O29" i="2"/>
  <c r="N31" i="2"/>
  <c r="N30" i="2"/>
  <c r="N29" i="2"/>
  <c r="O27" i="2"/>
  <c r="N27" i="2"/>
  <c r="O25" i="2"/>
  <c r="N25" i="2"/>
  <c r="M25" i="2"/>
  <c r="O21" i="2"/>
  <c r="N21" i="2"/>
  <c r="M21" i="2"/>
  <c r="M19" i="2"/>
  <c r="M16" i="2"/>
  <c r="O19" i="2"/>
  <c r="N19" i="2"/>
  <c r="S16" i="2"/>
  <c r="S19" i="2" s="1"/>
  <c r="R16" i="2"/>
  <c r="R19" i="2" s="1"/>
  <c r="Q16" i="2"/>
  <c r="Q19" i="2" s="1"/>
  <c r="P16" i="2"/>
  <c r="Q27" i="2" s="1"/>
  <c r="O16" i="2"/>
  <c r="N16" i="2"/>
  <c r="N3" i="2"/>
  <c r="O3" i="2" s="1"/>
  <c r="P3" i="2" s="1"/>
  <c r="Q3" i="2" s="1"/>
  <c r="R3" i="2" s="1"/>
  <c r="S3" i="2" s="1"/>
  <c r="N2" i="2"/>
  <c r="O2" i="2" s="1"/>
  <c r="P2" i="2" s="1"/>
  <c r="Q2" i="2" s="1"/>
  <c r="R2" i="2" s="1"/>
  <c r="S2" i="2" s="1"/>
  <c r="I3" i="2"/>
  <c r="J3" i="2" s="1"/>
  <c r="L4" i="1"/>
  <c r="L7" i="1"/>
  <c r="L6" i="1"/>
  <c r="L3" i="1" a="1"/>
  <c r="L3" i="1" s="1"/>
  <c r="L5" i="1" s="1"/>
  <c r="L8" i="1" s="1"/>
  <c r="S29" i="2" l="1"/>
  <c r="S21" i="2"/>
  <c r="P19" i="2"/>
  <c r="P21" i="2" s="1"/>
  <c r="P25" i="2" s="1"/>
  <c r="P27" i="2"/>
  <c r="Q29" i="2"/>
  <c r="Q21" i="2"/>
  <c r="R21" i="2"/>
  <c r="R29" i="2"/>
  <c r="S27" i="2"/>
  <c r="R27" i="2"/>
  <c r="P30" i="2"/>
  <c r="P29" i="2" l="1"/>
  <c r="S25" i="2"/>
  <c r="S30" i="2"/>
  <c r="R25" i="2"/>
  <c r="R31" i="2" s="1"/>
  <c r="R30" i="2"/>
  <c r="Q30" i="2"/>
  <c r="Q25" i="2"/>
  <c r="Q31" i="2" s="1"/>
  <c r="P31" i="2"/>
  <c r="T25" i="2" l="1"/>
  <c r="S31" i="2"/>
  <c r="U25" i="2" l="1"/>
  <c r="V25" i="2" s="1"/>
  <c r="W25" i="2" s="1"/>
  <c r="X25" i="2" s="1"/>
  <c r="Y25" i="2" s="1"/>
  <c r="Z25" i="2" s="1"/>
  <c r="AA25" i="2" s="1"/>
  <c r="AB25" i="2" s="1"/>
  <c r="AC25" i="2" s="1"/>
  <c r="AD25" i="2" s="1"/>
  <c r="AE25" i="2" s="1"/>
  <c r="AF25" i="2" s="1"/>
  <c r="AG25" i="2" s="1"/>
  <c r="AH25" i="2" s="1"/>
  <c r="AI25" i="2" s="1"/>
  <c r="AJ25" i="2" s="1"/>
  <c r="AK25" i="2" s="1"/>
  <c r="AL25" i="2" s="1"/>
  <c r="AM25" i="2" s="1"/>
  <c r="AN25" i="2" s="1"/>
  <c r="V28"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<sst xmlns="http://schemas.openxmlformats.org/spreadsheetml/2006/main" count="66" uniqueCount="64">
  <si>
    <t>Ticket</t>
  </si>
  <si>
    <t>Price</t>
  </si>
  <si>
    <t>Shares</t>
  </si>
  <si>
    <t>MC</t>
  </si>
  <si>
    <t>Cash</t>
  </si>
  <si>
    <t>Debt</t>
  </si>
  <si>
    <t>EV</t>
  </si>
  <si>
    <t>AT&amp;T</t>
  </si>
  <si>
    <t>VODAFONE</t>
  </si>
  <si>
    <t>Rakuten Mobile</t>
  </si>
  <si>
    <t>Verizon</t>
  </si>
  <si>
    <t>American Tower Corporation</t>
  </si>
  <si>
    <t>Bell Canada</t>
  </si>
  <si>
    <t>Founder</t>
  </si>
  <si>
    <t>CEO</t>
  </si>
  <si>
    <t>Abel Avellan</t>
  </si>
  <si>
    <t>Founded</t>
  </si>
  <si>
    <t>HQ</t>
  </si>
  <si>
    <t xml:space="preserve">IPO </t>
  </si>
  <si>
    <t>Industry</t>
  </si>
  <si>
    <t>AST SpaceMobile is building the first and only global cellular broadband network in space</t>
  </si>
  <si>
    <t>Notes:</t>
  </si>
  <si>
    <t xml:space="preserve">5,6 billion phones </t>
  </si>
  <si>
    <t>$1,1T TAM</t>
  </si>
  <si>
    <t>90% of earth surface doesnt have cellular coverage</t>
  </si>
  <si>
    <t>Strategic Partners(Investors)</t>
  </si>
  <si>
    <t>Google</t>
  </si>
  <si>
    <t>First 5 commercial satellites lauched successfully</t>
  </si>
  <si>
    <t>Revenue</t>
  </si>
  <si>
    <t>Q1 2023</t>
  </si>
  <si>
    <t>Q2 2023</t>
  </si>
  <si>
    <t>Q3 2023</t>
  </si>
  <si>
    <t>Q4 2023</t>
  </si>
  <si>
    <t>Q1 2024</t>
  </si>
  <si>
    <t>Q2 2024</t>
  </si>
  <si>
    <t>Q3 2024</t>
  </si>
  <si>
    <t>Q4 2024</t>
  </si>
  <si>
    <t>D&amp;A</t>
  </si>
  <si>
    <t>Midland, Texas</t>
  </si>
  <si>
    <t>Insider %</t>
  </si>
  <si>
    <t>CEO Avellan owns a 25% economic interest in the Company and takes no salary</t>
  </si>
  <si>
    <t>Satellites</t>
  </si>
  <si>
    <t>Launched</t>
  </si>
  <si>
    <t>Supplemental Coverage Subs</t>
  </si>
  <si>
    <t>Day Pass Units Sold</t>
  </si>
  <si>
    <t>Primary Broadband Subs</t>
  </si>
  <si>
    <t>Subs</t>
  </si>
  <si>
    <t>ARPU</t>
  </si>
  <si>
    <t>Government &amp; Military</t>
  </si>
  <si>
    <t>Supplemental Coverage Subs ( Monthly)</t>
  </si>
  <si>
    <t>Primary Broadband Subs (Monthly)</t>
  </si>
  <si>
    <t>COGS</t>
  </si>
  <si>
    <t>Opex</t>
  </si>
  <si>
    <t>Gross Profit</t>
  </si>
  <si>
    <t>Operating Income</t>
  </si>
  <si>
    <t>Adj EBITDA</t>
  </si>
  <si>
    <t>FCF</t>
  </si>
  <si>
    <t>Capex</t>
  </si>
  <si>
    <t>Discount</t>
  </si>
  <si>
    <t>NPV</t>
  </si>
  <si>
    <t>Revenue y/y</t>
  </si>
  <si>
    <t>Gross Margin</t>
  </si>
  <si>
    <t>Operating Margin</t>
  </si>
  <si>
    <t>FCF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</si>
</sst>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_ ;[Red]\-#,##0\ "/>
    <numFmt numFmtId="166" formatCode="0.0%"/>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2" fillId="0" borderId="0" xfId="0" applyFont="1"/>
    <xf numFmtId="3" fontId="1" fillId="0" borderId="0" xfId="0" applyNumberFormat="1" applyFont="1"/>
    <xf numFmtId="9" fontId="1" fillId="0" borderId="0" xfId="0" applyNumberFormat="1" applyFont="1"/>
    <xf numFmtId="4" fontId="1" fillId="0" borderId="0" xfId="0" applyNumberFormat="1" applyFont="1"/>
    <xf numFmtId="165" fontId="1" fillId="0" borderId="0" xfId="0" applyNumberFormat="1" applyFont="1"/>
    <xf numFmtId="166" fontId="1" fillId="0" borderId="0" xfId="0" applyNumberFormat="1" applyFont="1"/>
    <xf numFmtId="3"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https://www.bing.com/financeapi/forcetrigger?t=bsmyr7&amp;q=XNAS%3aASTS&amp;form=skydnc</v>
    <v>Learn more on Bing</v>
  </rv>
  <rv s="1">
    <v>en-GB</v>
    <v>bsmyr7</v>
    <v>268435456</v>
    <v>1</v>
    <v>Powered by Refinitiv</v>
    <v>0</v>
    <v>AST SPACEMOBILE, INC. (XNAS:ASTS)</v>
    <v>2</v>
    <v>3</v>
    <v>Finance</v>
    <v>4</v>
    <v>39.08</v>
    <v>1.97</v>
    <v>1.645</v>
    <v>5.0408999999999997</v>
    <v>0.19015100000000001</v>
    <v>USD</v>
    <v>AST SpaceMobile, Inc. is engaged in building a global cellular broadband network in space to operate directly with standard, unmodified mobile devices based on its intellectual property (IP) and patent portfolio, and designed for both commercial and government applications. Its SpaceMobile Service is being designed to provide high-speed cellular broadband services to end-users who are out of terrestrial cellular coverage using existing mobile devices. The Company is engaged in designing and developing the constellation of BlueBird (BB) satellites in advance of launching its planned space-based cellular broadband network distributed through a constellation of low earth orbit (LEO) satellites. The Company intends to continue testing the capabilities of the BlueWalker 3 (BW3) test satellite, including further testing with cellular service providers and devices. The Company primarily operates in the United States, India, Scotland, Spain and Israel.</v>
    <v>272</v>
    <v>Nasdaq Stock Market</v>
    <v>XNAS</v>
    <v>XNAS</v>
    <v>Midland Intl. Air &amp; Space Port, 2901 Enterprise Lane, MIDLAND, TX, 79706 US</v>
    <v>32.97</v>
    <v>Telecommunications Services</v>
    <v>Stock</v>
    <v>45698.735216457811</v>
    <v>0</v>
    <v>27.3948</v>
    <v>9141400011</v>
    <v>AST SPACEMOBILE, INC.</v>
    <v>AST SPACEMOBILE, INC.</v>
    <v>27.46</v>
    <v>0</v>
    <v>26.51</v>
    <v>31.550899999999999</v>
    <v>289735000</v>
    <v>ASTS</v>
    <v>AST SPACEMOBILE, INC. (XNAS:ASTS)</v>
    <v>25194497</v>
    <v>10602248</v>
    <v>2019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1950A-879A-4EFB-9826-4CC7283C8A59}">
  <dimension ref="B2:L17"/>
  <sheetViews>
    <sheetView workbookViewId="0">
      <selection activeCell="B17" sqref="B17"/>
    </sheetView>
  </sheetViews>
  <sheetFormatPr defaultColWidth="9.109375" defaultRowHeight="13.2" x14ac:dyDescent="0.25"/>
  <cols>
    <col min="1" max="16384" width="9.109375" style="1"/>
  </cols>
  <sheetData>
    <row r="2" spans="2:12" x14ac:dyDescent="0.25">
      <c r="F2" s="1" t="s">
        <v>13</v>
      </c>
      <c r="G2" s="1" t="s">
        <v>15</v>
      </c>
      <c r="K2" s="1" t="s">
        <v>0</v>
      </c>
      <c r="L2" s="1" t="e" vm="1">
        <v>#VALUE!</v>
      </c>
    </row>
    <row r="3" spans="2:12" x14ac:dyDescent="0.25">
      <c r="B3" s="3" t="s">
        <v>25</v>
      </c>
      <c r="F3" s="1" t="s">
        <v>14</v>
      </c>
      <c r="G3" s="1" t="s">
        <v>15</v>
      </c>
      <c r="K3" s="1" t="s">
        <v>1</v>
      </c>
      <c r="L3" s="2" cm="1">
        <f t="array" aca="1" ref="L3" ca="1">+_FV(L2,"Price")</f>
        <v>31.550899999999999</v>
      </c>
    </row>
    <row r="4" spans="2:12" x14ac:dyDescent="0.25">
      <c r="B4" s="1" t="s">
        <v>7</v>
      </c>
      <c r="F4" s="1" t="s">
        <v>16</v>
      </c>
      <c r="G4" s="1">
        <v>2017</v>
      </c>
      <c r="K4" s="1" t="s">
        <v>2</v>
      </c>
      <c r="L4" s="1">
        <f>200.344605+11.227292+78.163078</f>
        <v>289.73497500000002</v>
      </c>
    </row>
    <row r="5" spans="2:12" x14ac:dyDescent="0.25">
      <c r="B5" s="1" t="s">
        <v>10</v>
      </c>
      <c r="F5" s="1" t="s">
        <v>17</v>
      </c>
      <c r="G5" s="1" t="s">
        <v>38</v>
      </c>
      <c r="K5" s="1" t="s">
        <v>3</v>
      </c>
      <c r="L5" s="4">
        <f ca="1">+L3*L4</f>
        <v>9141.3992227274994</v>
      </c>
    </row>
    <row r="6" spans="2:12" x14ac:dyDescent="0.25">
      <c r="B6" s="1" t="s">
        <v>8</v>
      </c>
      <c r="F6" s="1" t="s">
        <v>18</v>
      </c>
      <c r="G6" s="1">
        <v>2021</v>
      </c>
      <c r="K6" s="1" t="s">
        <v>4</v>
      </c>
      <c r="L6" s="4">
        <f>516.389+2.497</f>
        <v>518.88599999999997</v>
      </c>
    </row>
    <row r="7" spans="2:12" x14ac:dyDescent="0.25">
      <c r="B7" s="1" t="s">
        <v>9</v>
      </c>
      <c r="F7" s="1" t="s">
        <v>19</v>
      </c>
      <c r="K7" s="1" t="s">
        <v>5</v>
      </c>
      <c r="L7" s="4">
        <f>44.635+156.252</f>
        <v>200.887</v>
      </c>
    </row>
    <row r="8" spans="2:12" x14ac:dyDescent="0.25">
      <c r="B8" s="1" t="s">
        <v>11</v>
      </c>
      <c r="F8" s="1" t="s">
        <v>39</v>
      </c>
      <c r="G8" s="5">
        <v>0.23</v>
      </c>
      <c r="K8" s="1" t="s">
        <v>6</v>
      </c>
      <c r="L8" s="4">
        <f ca="1">+L5-L6+L7</f>
        <v>8823.4002227274996</v>
      </c>
    </row>
    <row r="9" spans="2:12" x14ac:dyDescent="0.25">
      <c r="B9" s="1" t="s">
        <v>12</v>
      </c>
    </row>
    <row r="10" spans="2:12" x14ac:dyDescent="0.25">
      <c r="B10" s="1" t="s">
        <v>26</v>
      </c>
      <c r="K10" s="1" t="s">
        <v>20</v>
      </c>
    </row>
    <row r="12" spans="2:12" x14ac:dyDescent="0.25">
      <c r="B12" s="3" t="s">
        <v>21</v>
      </c>
    </row>
    <row r="13" spans="2:12" x14ac:dyDescent="0.25">
      <c r="B13" s="1" t="s">
        <v>22</v>
      </c>
    </row>
    <row r="14" spans="2:12" x14ac:dyDescent="0.25">
      <c r="B14" s="1" t="s">
        <v>23</v>
      </c>
    </row>
    <row r="15" spans="2:12" x14ac:dyDescent="0.25">
      <c r="B15" s="1" t="s">
        <v>24</v>
      </c>
    </row>
    <row r="16" spans="2:12" x14ac:dyDescent="0.25">
      <c r="B16" s="1" t="s">
        <v>27</v>
      </c>
    </row>
    <row r="17" spans="2:2" x14ac:dyDescent="0.25">
      <c r="B17" s="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7BE69-E223-491A-9610-FD200A14B7A9}">
  <dimension ref="A2:AN31"/>
  <sheetViews>
    <sheetView tabSelected="1" workbookViewId="0">
      <pane xSplit="2" ySplit="2" topLeftCell="L3" activePane="bottomRight" state="frozen"/>
      <selection pane="topRight" activeCell="C1" sqref="C1"/>
      <selection pane="bottomLeft" activeCell="A3" sqref="A3"/>
      <selection pane="bottomRight" activeCell="V9" sqref="V9"/>
    </sheetView>
  </sheetViews>
  <sheetFormatPr defaultColWidth="9.109375" defaultRowHeight="13.2" x14ac:dyDescent="0.25"/>
  <cols>
    <col min="1" max="1" width="6.109375" style="1" bestFit="1" customWidth="1"/>
    <col min="2" max="2" width="35" style="1" bestFit="1" customWidth="1"/>
    <col min="3" max="21" width="9.109375" style="1"/>
    <col min="22" max="22" width="9.6640625" style="1" bestFit="1" customWidth="1"/>
    <col min="23" max="16384" width="9.109375" style="1"/>
  </cols>
  <sheetData>
    <row r="2" spans="1:40" x14ac:dyDescent="0.25">
      <c r="C2" s="3" t="s">
        <v>29</v>
      </c>
      <c r="D2" s="3" t="s">
        <v>30</v>
      </c>
      <c r="E2" s="3" t="s">
        <v>31</v>
      </c>
      <c r="F2" s="3" t="s">
        <v>32</v>
      </c>
      <c r="G2" s="3" t="s">
        <v>33</v>
      </c>
      <c r="H2" s="3" t="s">
        <v>34</v>
      </c>
      <c r="I2" s="3" t="s">
        <v>35</v>
      </c>
      <c r="J2" s="3" t="s">
        <v>36</v>
      </c>
      <c r="M2" s="3">
        <v>2024</v>
      </c>
      <c r="N2" s="3">
        <f>+M2+1</f>
        <v>2025</v>
      </c>
      <c r="O2" s="3">
        <f t="shared" ref="O2:S2" si="0">+N2+1</f>
        <v>2026</v>
      </c>
      <c r="P2" s="3">
        <f t="shared" si="0"/>
        <v>2027</v>
      </c>
      <c r="Q2" s="3">
        <f t="shared" si="0"/>
        <v>2028</v>
      </c>
      <c r="R2" s="3">
        <f t="shared" si="0"/>
        <v>2029</v>
      </c>
      <c r="S2" s="3">
        <f t="shared" si="0"/>
        <v>2030</v>
      </c>
      <c r="T2" s="3">
        <f t="shared" ref="T2" si="1">+S2+1</f>
        <v>2031</v>
      </c>
      <c r="U2" s="3">
        <f t="shared" ref="U2" si="2">+T2+1</f>
        <v>2032</v>
      </c>
      <c r="V2" s="3">
        <f t="shared" ref="V2" si="3">+U2+1</f>
        <v>2033</v>
      </c>
      <c r="W2" s="3">
        <f t="shared" ref="W2" si="4">+V2+1</f>
        <v>2034</v>
      </c>
      <c r="X2" s="3">
        <f t="shared" ref="X2" si="5">+W2+1</f>
        <v>2035</v>
      </c>
      <c r="Y2" s="3">
        <f t="shared" ref="Y2" si="6">+X2+1</f>
        <v>2036</v>
      </c>
      <c r="Z2" s="3">
        <f t="shared" ref="Z2" si="7">+Y2+1</f>
        <v>2037</v>
      </c>
      <c r="AA2" s="3">
        <f t="shared" ref="AA2" si="8">+Z2+1</f>
        <v>2038</v>
      </c>
      <c r="AB2" s="3">
        <f t="shared" ref="AB2" si="9">+AA2+1</f>
        <v>2039</v>
      </c>
      <c r="AC2" s="3">
        <f t="shared" ref="AC2" si="10">+AB2+1</f>
        <v>2040</v>
      </c>
      <c r="AD2" s="3">
        <f t="shared" ref="AD2" si="11">+AC2+1</f>
        <v>2041</v>
      </c>
      <c r="AE2" s="3">
        <f t="shared" ref="AE2" si="12">+AD2+1</f>
        <v>2042</v>
      </c>
      <c r="AF2" s="3">
        <f t="shared" ref="AF2" si="13">+AE2+1</f>
        <v>2043</v>
      </c>
      <c r="AG2" s="3">
        <f t="shared" ref="AG2" si="14">+AF2+1</f>
        <v>2044</v>
      </c>
      <c r="AH2" s="3">
        <f t="shared" ref="AH2" si="15">+AG2+1</f>
        <v>2045</v>
      </c>
      <c r="AI2" s="3">
        <f t="shared" ref="AI2" si="16">+AH2+1</f>
        <v>2046</v>
      </c>
      <c r="AJ2" s="3">
        <f t="shared" ref="AJ2" si="17">+AI2+1</f>
        <v>2047</v>
      </c>
      <c r="AK2" s="3">
        <f t="shared" ref="AK2" si="18">+AJ2+1</f>
        <v>2048</v>
      </c>
      <c r="AL2" s="3">
        <f t="shared" ref="AL2" si="19">+AK2+1</f>
        <v>2049</v>
      </c>
      <c r="AM2" s="3">
        <f t="shared" ref="AM2" si="20">+AL2+1</f>
        <v>2050</v>
      </c>
      <c r="AN2" s="3">
        <f t="shared" ref="AN2" si="21">+AM2+1</f>
        <v>2051</v>
      </c>
    </row>
    <row r="3" spans="1:40" x14ac:dyDescent="0.25">
      <c r="B3" s="3" t="s">
        <v>41</v>
      </c>
      <c r="C3" s="3"/>
      <c r="D3" s="3"/>
      <c r="E3" s="3"/>
      <c r="F3" s="3"/>
      <c r="G3" s="3"/>
      <c r="H3" s="3">
        <v>5</v>
      </c>
      <c r="I3" s="3">
        <f>+H3</f>
        <v>5</v>
      </c>
      <c r="J3" s="3">
        <f t="shared" ref="J3" si="22">+I3</f>
        <v>5</v>
      </c>
      <c r="K3" s="3"/>
      <c r="L3" s="3"/>
      <c r="M3" s="3">
        <v>5</v>
      </c>
      <c r="N3" s="3">
        <f>+M3+N4</f>
        <v>25</v>
      </c>
      <c r="O3" s="3">
        <f t="shared" ref="O3:P3" si="23">+N3+O4</f>
        <v>55</v>
      </c>
      <c r="P3" s="3">
        <f t="shared" si="23"/>
        <v>95</v>
      </c>
      <c r="Q3" s="3">
        <f t="shared" ref="Q3" si="24">+P3+Q4</f>
        <v>115</v>
      </c>
      <c r="R3" s="3">
        <f t="shared" ref="R3" si="25">+Q3+R4</f>
        <v>135</v>
      </c>
      <c r="S3" s="3">
        <f t="shared" ref="S3" si="26">+R3+S4</f>
        <v>155</v>
      </c>
    </row>
    <row r="4" spans="1:40" x14ac:dyDescent="0.25">
      <c r="B4" s="1" t="s">
        <v>42</v>
      </c>
      <c r="H4" s="1">
        <v>5</v>
      </c>
      <c r="N4" s="1">
        <v>20</v>
      </c>
      <c r="O4" s="1">
        <v>30</v>
      </c>
      <c r="P4" s="1">
        <v>40</v>
      </c>
      <c r="Q4" s="1">
        <v>20</v>
      </c>
      <c r="R4" s="1">
        <v>20</v>
      </c>
      <c r="S4" s="1">
        <v>20</v>
      </c>
    </row>
    <row r="5" spans="1:40" x14ac:dyDescent="0.25">
      <c r="A5" s="1" t="s">
        <v>46</v>
      </c>
      <c r="C5" s="3"/>
      <c r="D5" s="3"/>
      <c r="E5" s="3"/>
      <c r="F5" s="3"/>
      <c r="G5" s="3"/>
      <c r="H5" s="3"/>
      <c r="I5" s="3"/>
      <c r="J5" s="3"/>
    </row>
    <row r="6" spans="1:40" x14ac:dyDescent="0.25">
      <c r="B6" s="1" t="s">
        <v>49</v>
      </c>
      <c r="C6" s="3"/>
      <c r="D6" s="3"/>
      <c r="E6" s="3"/>
      <c r="F6" s="3"/>
      <c r="G6" s="3"/>
      <c r="H6" s="3"/>
      <c r="I6" s="3"/>
      <c r="J6" s="3"/>
      <c r="M6" s="4"/>
      <c r="N6" s="4">
        <v>0</v>
      </c>
      <c r="O6" s="4">
        <v>1492</v>
      </c>
      <c r="P6" s="4">
        <v>4698</v>
      </c>
      <c r="Q6" s="4">
        <v>8222</v>
      </c>
      <c r="R6" s="4">
        <v>10360</v>
      </c>
      <c r="S6" s="4">
        <v>11784</v>
      </c>
    </row>
    <row r="7" spans="1:40" x14ac:dyDescent="0.25">
      <c r="B7" s="1" t="s">
        <v>44</v>
      </c>
      <c r="C7" s="3"/>
      <c r="D7" s="3"/>
      <c r="E7" s="3"/>
      <c r="F7" s="3"/>
      <c r="G7" s="3"/>
      <c r="H7" s="3"/>
      <c r="I7" s="3"/>
      <c r="J7" s="3"/>
      <c r="M7" s="4"/>
      <c r="N7" s="4">
        <v>0</v>
      </c>
      <c r="O7" s="4">
        <v>22373</v>
      </c>
      <c r="P7" s="4">
        <v>93966</v>
      </c>
      <c r="Q7" s="4">
        <v>184995</v>
      </c>
      <c r="R7" s="4">
        <v>241727</v>
      </c>
      <c r="S7" s="4">
        <v>299137</v>
      </c>
    </row>
    <row r="8" spans="1:40" x14ac:dyDescent="0.25">
      <c r="B8" s="1" t="s">
        <v>50</v>
      </c>
      <c r="C8" s="3"/>
      <c r="D8" s="3"/>
      <c r="E8" s="3"/>
      <c r="F8" s="3"/>
      <c r="G8" s="3"/>
      <c r="H8" s="3"/>
      <c r="I8" s="3"/>
      <c r="J8" s="3"/>
      <c r="M8" s="4"/>
      <c r="N8" s="4">
        <v>0</v>
      </c>
      <c r="O8" s="4">
        <v>0</v>
      </c>
      <c r="P8" s="4">
        <v>18032</v>
      </c>
      <c r="Q8" s="4">
        <v>66267</v>
      </c>
      <c r="R8" s="4">
        <v>99400</v>
      </c>
      <c r="S8" s="4">
        <v>125244</v>
      </c>
    </row>
    <row r="9" spans="1:40" x14ac:dyDescent="0.25">
      <c r="A9" s="1" t="s">
        <v>47</v>
      </c>
      <c r="C9" s="3"/>
      <c r="D9" s="3"/>
      <c r="E9" s="3"/>
      <c r="F9" s="3"/>
      <c r="G9" s="3"/>
      <c r="H9" s="3"/>
      <c r="I9" s="3"/>
      <c r="J9" s="3"/>
      <c r="M9" s="4"/>
      <c r="N9" s="4"/>
      <c r="O9" s="4"/>
      <c r="P9" s="4"/>
      <c r="Q9" s="4"/>
      <c r="R9" s="4"/>
      <c r="S9" s="4"/>
    </row>
    <row r="10" spans="1:40" x14ac:dyDescent="0.25">
      <c r="B10" s="1" t="s">
        <v>43</v>
      </c>
      <c r="C10" s="3"/>
      <c r="D10" s="3"/>
      <c r="E10" s="3"/>
      <c r="F10" s="3"/>
      <c r="G10" s="3"/>
      <c r="H10" s="3"/>
      <c r="I10" s="3"/>
      <c r="J10" s="3"/>
      <c r="M10" s="4"/>
      <c r="N10" s="4">
        <v>10</v>
      </c>
      <c r="O10" s="4">
        <v>10</v>
      </c>
      <c r="P10" s="4">
        <v>11</v>
      </c>
      <c r="Q10" s="4">
        <v>11</v>
      </c>
      <c r="R10" s="4">
        <v>11</v>
      </c>
      <c r="S10" s="4">
        <v>12</v>
      </c>
    </row>
    <row r="11" spans="1:40" x14ac:dyDescent="0.25">
      <c r="B11" s="1" t="s">
        <v>44</v>
      </c>
      <c r="C11" s="3"/>
      <c r="D11" s="3"/>
      <c r="E11" s="3"/>
      <c r="F11" s="3"/>
      <c r="G11" s="3"/>
      <c r="H11" s="3"/>
      <c r="I11" s="3"/>
      <c r="J11" s="3"/>
      <c r="M11" s="4"/>
      <c r="N11" s="4">
        <v>5</v>
      </c>
      <c r="O11" s="4">
        <v>5</v>
      </c>
      <c r="P11" s="4">
        <v>5.99</v>
      </c>
      <c r="Q11" s="4">
        <v>5.99</v>
      </c>
      <c r="R11" s="4">
        <v>5.99</v>
      </c>
      <c r="S11" s="4">
        <v>5.99</v>
      </c>
    </row>
    <row r="12" spans="1:40" x14ac:dyDescent="0.25">
      <c r="B12" s="1" t="s">
        <v>45</v>
      </c>
      <c r="C12" s="3"/>
      <c r="D12" s="3"/>
      <c r="E12" s="3"/>
      <c r="F12" s="3"/>
      <c r="G12" s="3"/>
      <c r="H12" s="3"/>
      <c r="I12" s="3"/>
      <c r="J12" s="3"/>
      <c r="M12" s="4"/>
      <c r="N12" s="4">
        <v>1</v>
      </c>
      <c r="O12" s="4">
        <v>1</v>
      </c>
      <c r="P12" s="4">
        <v>1</v>
      </c>
      <c r="Q12" s="4">
        <v>1</v>
      </c>
      <c r="R12" s="4">
        <v>1</v>
      </c>
      <c r="S12" s="4">
        <v>1</v>
      </c>
    </row>
    <row r="13" spans="1:40" x14ac:dyDescent="0.25">
      <c r="C13" s="3"/>
      <c r="D13" s="3"/>
      <c r="E13" s="3"/>
      <c r="F13" s="3"/>
      <c r="G13" s="3"/>
      <c r="H13" s="3"/>
      <c r="I13" s="3"/>
      <c r="J13" s="3"/>
      <c r="M13" s="4"/>
      <c r="N13" s="4"/>
      <c r="O13" s="4"/>
      <c r="P13" s="4"/>
      <c r="Q13" s="4"/>
      <c r="R13" s="4"/>
      <c r="S13" s="4"/>
    </row>
    <row r="14" spans="1:40" x14ac:dyDescent="0.25">
      <c r="B14" s="1" t="s">
        <v>48</v>
      </c>
      <c r="C14" s="3"/>
      <c r="D14" s="3"/>
      <c r="E14" s="3"/>
      <c r="F14" s="3"/>
      <c r="G14" s="3"/>
      <c r="H14" s="3"/>
      <c r="I14" s="3"/>
      <c r="J14" s="3"/>
      <c r="M14" s="4">
        <v>10.7</v>
      </c>
      <c r="N14" s="4">
        <v>50</v>
      </c>
      <c r="O14" s="4">
        <v>75</v>
      </c>
      <c r="P14" s="4">
        <v>150</v>
      </c>
      <c r="Q14" s="4">
        <v>270</v>
      </c>
      <c r="R14" s="4">
        <v>442.8</v>
      </c>
      <c r="S14" s="4">
        <v>669.5</v>
      </c>
    </row>
    <row r="15" spans="1:40" x14ac:dyDescent="0.25">
      <c r="C15" s="3"/>
      <c r="D15" s="3"/>
      <c r="E15" s="3"/>
      <c r="F15" s="3"/>
      <c r="G15" s="3"/>
      <c r="H15" s="3"/>
      <c r="I15" s="3"/>
      <c r="J15" s="3"/>
      <c r="M15" s="4"/>
      <c r="N15" s="4"/>
      <c r="O15" s="4"/>
      <c r="P15" s="4"/>
      <c r="Q15" s="4"/>
      <c r="R15" s="4"/>
      <c r="S15" s="4"/>
    </row>
    <row r="16" spans="1:40" x14ac:dyDescent="0.25">
      <c r="B16" s="3" t="s">
        <v>28</v>
      </c>
      <c r="C16" s="3"/>
      <c r="D16" s="3"/>
      <c r="E16" s="3">
        <v>0</v>
      </c>
      <c r="F16" s="3"/>
      <c r="G16" s="3"/>
      <c r="H16" s="3"/>
      <c r="I16" s="3">
        <v>1.1000000000000001</v>
      </c>
      <c r="J16" s="3"/>
      <c r="K16" s="3"/>
      <c r="L16" s="3"/>
      <c r="M16" s="9">
        <f t="shared" ref="M16" si="27">+(M6*M10*12+M7*M11+M8*M12*12)/1000+M14</f>
        <v>10.7</v>
      </c>
      <c r="N16" s="9">
        <f>+(N6*N10*12+N7*N11+N8*N12*12)/1000+N14</f>
        <v>50</v>
      </c>
      <c r="O16" s="9">
        <f t="shared" ref="O16:S16" si="28">+(O6*O10*12+O7*O11+O8*O12*12)/1000+O14</f>
        <v>365.90499999999997</v>
      </c>
      <c r="P16" s="9">
        <f t="shared" si="28"/>
        <v>1549.3763399999998</v>
      </c>
      <c r="Q16" s="9">
        <f t="shared" si="28"/>
        <v>3258.6280499999998</v>
      </c>
      <c r="R16" s="9">
        <f t="shared" si="28"/>
        <v>4451.0647300000001</v>
      </c>
      <c r="S16" s="9">
        <f t="shared" si="28"/>
        <v>5661.15463</v>
      </c>
    </row>
    <row r="17" spans="2:40" x14ac:dyDescent="0.25">
      <c r="M17" s="4"/>
      <c r="N17" s="4"/>
      <c r="O17" s="4"/>
      <c r="P17" s="4"/>
      <c r="Q17" s="4"/>
      <c r="R17" s="4"/>
      <c r="S17" s="4"/>
    </row>
    <row r="18" spans="2:40" x14ac:dyDescent="0.25">
      <c r="B18" s="1" t="s">
        <v>51</v>
      </c>
      <c r="M18" s="4">
        <v>0.3</v>
      </c>
      <c r="N18" s="4">
        <v>1</v>
      </c>
      <c r="O18" s="4">
        <v>5.5</v>
      </c>
      <c r="P18" s="4">
        <v>15.8</v>
      </c>
      <c r="Q18" s="4">
        <v>25.1</v>
      </c>
      <c r="R18" s="4">
        <v>25.9</v>
      </c>
      <c r="S18" s="4">
        <v>24.1</v>
      </c>
    </row>
    <row r="19" spans="2:40" x14ac:dyDescent="0.25">
      <c r="B19" s="1" t="s">
        <v>53</v>
      </c>
      <c r="M19" s="4">
        <f t="shared" ref="M19" si="29">+M16-M18</f>
        <v>10.399999999999999</v>
      </c>
      <c r="N19" s="4">
        <f>+N16-N18</f>
        <v>49</v>
      </c>
      <c r="O19" s="4">
        <f t="shared" ref="O19:S19" si="30">+O16-O18</f>
        <v>360.40499999999997</v>
      </c>
      <c r="P19" s="4">
        <f t="shared" si="30"/>
        <v>1533.5763399999998</v>
      </c>
      <c r="Q19" s="4">
        <f t="shared" si="30"/>
        <v>3233.5280499999999</v>
      </c>
      <c r="R19" s="4">
        <f t="shared" si="30"/>
        <v>4425.1647300000004</v>
      </c>
      <c r="S19" s="4">
        <f t="shared" si="30"/>
        <v>5637.0546299999996</v>
      </c>
    </row>
    <row r="20" spans="2:40" x14ac:dyDescent="0.25">
      <c r="B20" s="1" t="s">
        <v>52</v>
      </c>
      <c r="M20" s="4">
        <v>146.6</v>
      </c>
      <c r="N20" s="4">
        <v>135.5</v>
      </c>
      <c r="O20" s="4">
        <v>138.9</v>
      </c>
      <c r="P20" s="4">
        <v>142.4</v>
      </c>
      <c r="Q20" s="4">
        <v>145.9</v>
      </c>
      <c r="R20" s="4">
        <v>149.6</v>
      </c>
      <c r="S20" s="4">
        <v>153.30000000000001</v>
      </c>
    </row>
    <row r="21" spans="2:40" x14ac:dyDescent="0.25">
      <c r="B21" s="1" t="s">
        <v>54</v>
      </c>
      <c r="M21" s="4">
        <f>+M19-M20</f>
        <v>-136.19999999999999</v>
      </c>
      <c r="N21" s="4">
        <f t="shared" ref="N21:S21" si="31">+N19-N20</f>
        <v>-86.5</v>
      </c>
      <c r="O21" s="4">
        <f t="shared" si="31"/>
        <v>221.50499999999997</v>
      </c>
      <c r="P21" s="4">
        <f t="shared" si="31"/>
        <v>1391.1763399999998</v>
      </c>
      <c r="Q21" s="4">
        <f t="shared" si="31"/>
        <v>3087.6280499999998</v>
      </c>
      <c r="R21" s="4">
        <f t="shared" si="31"/>
        <v>4275.5647300000001</v>
      </c>
      <c r="S21" s="4">
        <f t="shared" si="31"/>
        <v>5483.7546299999995</v>
      </c>
    </row>
    <row r="22" spans="2:40" x14ac:dyDescent="0.25">
      <c r="B22" s="1" t="s">
        <v>37</v>
      </c>
      <c r="M22" s="4">
        <v>80.3</v>
      </c>
      <c r="N22" s="4">
        <v>200</v>
      </c>
      <c r="O22" s="4">
        <v>300</v>
      </c>
      <c r="P22" s="4">
        <v>350</v>
      </c>
      <c r="Q22" s="4">
        <v>400</v>
      </c>
      <c r="R22" s="4">
        <v>450</v>
      </c>
      <c r="S22" s="4">
        <v>500</v>
      </c>
    </row>
    <row r="23" spans="2:40" x14ac:dyDescent="0.25">
      <c r="B23" s="1" t="s">
        <v>55</v>
      </c>
      <c r="M23" s="6"/>
    </row>
    <row r="24" spans="2:40" x14ac:dyDescent="0.25">
      <c r="B24" s="1" t="s">
        <v>57</v>
      </c>
      <c r="M24" s="1">
        <v>95.8</v>
      </c>
      <c r="N24" s="1">
        <v>385</v>
      </c>
      <c r="O24" s="1">
        <v>440</v>
      </c>
      <c r="P24" s="1">
        <v>475</v>
      </c>
      <c r="Q24" s="1">
        <v>275</v>
      </c>
      <c r="R24" s="1">
        <v>280</v>
      </c>
      <c r="S24" s="1">
        <v>285</v>
      </c>
    </row>
    <row r="25" spans="2:40" x14ac:dyDescent="0.25">
      <c r="B25" s="1" t="s">
        <v>56</v>
      </c>
      <c r="M25" s="9">
        <f>+M21-M24</f>
        <v>-232</v>
      </c>
      <c r="N25" s="9">
        <f t="shared" ref="N25:S25" si="32">+N21-N24</f>
        <v>-471.5</v>
      </c>
      <c r="O25" s="9">
        <f t="shared" si="32"/>
        <v>-218.49500000000003</v>
      </c>
      <c r="P25" s="9">
        <f t="shared" si="32"/>
        <v>916.17633999999975</v>
      </c>
      <c r="Q25" s="9">
        <f t="shared" si="32"/>
        <v>2812.6280499999998</v>
      </c>
      <c r="R25" s="9">
        <f t="shared" si="32"/>
        <v>3995.5647300000001</v>
      </c>
      <c r="S25" s="9">
        <f t="shared" si="32"/>
        <v>5198.7546299999995</v>
      </c>
      <c r="T25" s="9">
        <f>+S25*1.1</f>
        <v>5718.6300929999998</v>
      </c>
      <c r="U25" s="9">
        <f t="shared" ref="U25:V25" si="33">+T25*1.1</f>
        <v>6290.4931022999999</v>
      </c>
      <c r="V25" s="9">
        <f t="shared" si="33"/>
        <v>6919.5424125300005</v>
      </c>
      <c r="W25" s="9">
        <f>+V25*1.06</f>
        <v>7334.7149572818007</v>
      </c>
      <c r="X25" s="9">
        <f t="shared" ref="X25:Y25" si="34">+W25*1.06</f>
        <v>7774.7978547187095</v>
      </c>
      <c r="Y25" s="9">
        <f t="shared" si="34"/>
        <v>8241.2857260018318</v>
      </c>
      <c r="Z25" s="9">
        <f>+Y25*1.025</f>
        <v>8447.3178691518769</v>
      </c>
      <c r="AA25" s="9">
        <f t="shared" ref="AA25:AN25" si="35">+Z25*1.025</f>
        <v>8658.5008158806722</v>
      </c>
      <c r="AB25" s="9">
        <f t="shared" si="35"/>
        <v>8874.9633362776876</v>
      </c>
      <c r="AC25" s="9">
        <f t="shared" si="35"/>
        <v>9096.8374196846289</v>
      </c>
      <c r="AD25" s="9">
        <f t="shared" si="35"/>
        <v>9324.2583551767439</v>
      </c>
      <c r="AE25" s="9">
        <f t="shared" si="35"/>
        <v>9557.3648140561618</v>
      </c>
      <c r="AF25" s="9">
        <f t="shared" si="35"/>
        <v>9796.298934407565</v>
      </c>
      <c r="AG25" s="9">
        <f t="shared" si="35"/>
        <v>10041.206407767753</v>
      </c>
      <c r="AH25" s="9">
        <f t="shared" si="35"/>
        <v>10292.236567961947</v>
      </c>
      <c r="AI25" s="9">
        <f t="shared" si="35"/>
        <v>10549.542482160994</v>
      </c>
      <c r="AJ25" s="9">
        <f t="shared" si="35"/>
        <v>10813.281044215018</v>
      </c>
      <c r="AK25" s="9">
        <f t="shared" si="35"/>
        <v>11083.613070320393</v>
      </c>
      <c r="AL25" s="9">
        <f t="shared" si="35"/>
        <v>11360.703397078401</v>
      </c>
      <c r="AM25" s="9">
        <f t="shared" si="35"/>
        <v>11644.720982005361</v>
      </c>
      <c r="AN25" s="9">
        <f t="shared" si="35"/>
        <v>11935.839006555494</v>
      </c>
    </row>
    <row r="27" spans="2:40" x14ac:dyDescent="0.25">
      <c r="B27" s="1" t="s">
        <v>60</v>
      </c>
      <c r="N27" s="5">
        <f>+N16/M16-1</f>
        <v>3.6728971962616823</v>
      </c>
      <c r="O27" s="5">
        <f t="shared" ref="O27:S27" si="36">+O16/N16-1</f>
        <v>6.3180999999999994</v>
      </c>
      <c r="P27" s="5">
        <f t="shared" si="36"/>
        <v>3.2343677730558476</v>
      </c>
      <c r="Q27" s="5">
        <f t="shared" si="36"/>
        <v>1.1031869184216405</v>
      </c>
      <c r="R27" s="5">
        <f t="shared" si="36"/>
        <v>0.36593212287606747</v>
      </c>
      <c r="S27" s="5">
        <f t="shared" si="36"/>
        <v>0.27186526671788025</v>
      </c>
      <c r="U27" s="1" t="s">
        <v>58</v>
      </c>
      <c r="V27" s="5">
        <v>0.2</v>
      </c>
    </row>
    <row r="28" spans="2:40" x14ac:dyDescent="0.25">
      <c r="U28" s="1" t="s">
        <v>59</v>
      </c>
      <c r="V28" s="7">
        <f>+NPV(V27,M25:AN25)</f>
        <v>14097.456158412591</v>
      </c>
    </row>
    <row r="29" spans="2:40" x14ac:dyDescent="0.25">
      <c r="B29" s="1" t="s">
        <v>61</v>
      </c>
      <c r="N29" s="8">
        <f>+N19/N16</f>
        <v>0.98</v>
      </c>
      <c r="O29" s="8">
        <f t="shared" ref="O29:S29" si="37">+O19/O16</f>
        <v>0.98496877604842792</v>
      </c>
      <c r="P29" s="8">
        <f t="shared" si="37"/>
        <v>0.98980234847267645</v>
      </c>
      <c r="Q29" s="8">
        <f t="shared" si="37"/>
        <v>0.99229737189551293</v>
      </c>
      <c r="R29" s="8">
        <f t="shared" si="37"/>
        <v>0.99418116752483188</v>
      </c>
      <c r="S29" s="8">
        <f t="shared" si="37"/>
        <v>0.99574291790719016</v>
      </c>
    </row>
    <row r="30" spans="2:40" x14ac:dyDescent="0.25">
      <c r="B30" s="1" t="s">
        <v>62</v>
      </c>
      <c r="N30" s="8">
        <f>+N21/N16</f>
        <v>-1.73</v>
      </c>
      <c r="O30" s="8">
        <f t="shared" ref="O30:S30" si="38">+O21/O16</f>
        <v>0.60536204752599709</v>
      </c>
      <c r="P30" s="8">
        <f t="shared" si="38"/>
        <v>0.89789440053021585</v>
      </c>
      <c r="Q30" s="8">
        <f t="shared" si="38"/>
        <v>0.94752392805309582</v>
      </c>
      <c r="R30" s="8">
        <f t="shared" si="38"/>
        <v>0.96057123168370551</v>
      </c>
      <c r="S30" s="8">
        <f t="shared" si="38"/>
        <v>0.96866363637906838</v>
      </c>
    </row>
    <row r="31" spans="2:40" x14ac:dyDescent="0.25">
      <c r="B31" s="1" t="s">
        <v>63</v>
      </c>
      <c r="N31" s="8">
        <f>+N25/N16</f>
        <v>-9.43</v>
      </c>
      <c r="O31" s="8">
        <f t="shared" ref="O31:S31" si="39">+O25/O16</f>
        <v>-0.5971358685997733</v>
      </c>
      <c r="P31" s="8">
        <f t="shared" si="39"/>
        <v>0.59131943372776674</v>
      </c>
      <c r="Q31" s="8">
        <f t="shared" si="39"/>
        <v>0.86313258427883477</v>
      </c>
      <c r="R31" s="8">
        <f t="shared" si="39"/>
        <v>0.89766493465485953</v>
      </c>
      <c r="S31" s="8">
        <f t="shared" si="39"/>
        <v>0.91832054938940955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alexandreduartemorais@gmail.com</dc:creator>
  <cp:lastModifiedBy>Alexandre Duarte Morais</cp:lastModifiedBy>
  <dcterms:created xsi:type="dcterms:W3CDTF">2024-11-16T17:44:03Z</dcterms:created>
  <dcterms:modified xsi:type="dcterms:W3CDTF">2025-02-10T17:43:10Z</dcterms:modified>
</cp:coreProperties>
</file>