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phdisegutl-my.sharepoint.com/personal/l59357_aln_iseg_ulisboa_pt/Documents/Models/"/>
    </mc:Choice>
  </mc:AlternateContent>
  <xr:revisionPtr revIDLastSave="237" documentId="8_{4565126B-A193-4540-B817-91E04EAA6367}" xr6:coauthVersionLast="47" xr6:coauthVersionMax="47" xr10:uidLastSave="{A8F65706-142B-4400-9BEC-E5E16E304CD9}"/>
  <bookViews>
    <workbookView xWindow="14295" yWindow="0" windowWidth="14610" windowHeight="15585" xr2:uid="{6E93331A-C843-434A-89E4-33FAD5AD2B43}"/>
  </bookViews>
  <sheets>
    <sheet name="main" sheetId="1" r:id="rId1"/>
    <sheet name="mode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7" i="2" l="1"/>
  <c r="C26" i="2"/>
  <c r="C25" i="2"/>
  <c r="C24" i="2"/>
  <c r="G22" i="2"/>
  <c r="G21" i="2"/>
  <c r="G20" i="2"/>
  <c r="G19" i="2"/>
  <c r="H27" i="2"/>
  <c r="G27" i="2"/>
  <c r="F27" i="2"/>
  <c r="E27" i="2"/>
  <c r="D27" i="2"/>
  <c r="H26" i="2"/>
  <c r="G26" i="2"/>
  <c r="F26" i="2"/>
  <c r="E26" i="2"/>
  <c r="D26" i="2"/>
  <c r="H25" i="2"/>
  <c r="G25" i="2"/>
  <c r="F25" i="2"/>
  <c r="E25" i="2"/>
  <c r="D25" i="2"/>
  <c r="H24" i="2"/>
  <c r="G24" i="2"/>
  <c r="F24" i="2"/>
  <c r="E24" i="2"/>
  <c r="D24" i="2"/>
  <c r="H22" i="2"/>
  <c r="H21" i="2"/>
  <c r="H20" i="2"/>
  <c r="H19" i="2"/>
  <c r="E16" i="2"/>
  <c r="E12" i="2"/>
  <c r="E17" i="2" s="1"/>
  <c r="E7" i="2"/>
  <c r="F7" i="2"/>
  <c r="F12" i="2"/>
  <c r="F17" i="2" s="1"/>
  <c r="F16" i="2"/>
  <c r="I25" i="2"/>
  <c r="I24" i="2"/>
  <c r="I21" i="2"/>
  <c r="I20" i="2"/>
  <c r="I19" i="2"/>
  <c r="P21" i="2"/>
  <c r="O21" i="2"/>
  <c r="P20" i="2"/>
  <c r="O20" i="2"/>
  <c r="P19" i="2"/>
  <c r="O19" i="2"/>
  <c r="O25" i="2"/>
  <c r="O24" i="2"/>
  <c r="W16" i="2"/>
  <c r="V16" i="2"/>
  <c r="U16" i="2"/>
  <c r="T16" i="2"/>
  <c r="S16" i="2"/>
  <c r="R16" i="2"/>
  <c r="W12" i="2"/>
  <c r="W17" i="2" s="1"/>
  <c r="V12" i="2"/>
  <c r="U12" i="2"/>
  <c r="T12" i="2"/>
  <c r="T17" i="2" s="1"/>
  <c r="S12" i="2"/>
  <c r="R12" i="2"/>
  <c r="W7" i="2"/>
  <c r="V7" i="2"/>
  <c r="U7" i="2"/>
  <c r="T7" i="2"/>
  <c r="S7" i="2"/>
  <c r="R7" i="2"/>
  <c r="R2" i="2"/>
  <c r="S2" i="2" s="1"/>
  <c r="T2" i="2" s="1"/>
  <c r="U2" i="2" s="1"/>
  <c r="V2" i="2" s="1"/>
  <c r="W2" i="2" s="1"/>
  <c r="Q25" i="2"/>
  <c r="P25" i="2"/>
  <c r="Q24" i="2"/>
  <c r="P24" i="2"/>
  <c r="Q21" i="2"/>
  <c r="Q20" i="2"/>
  <c r="Q19" i="2"/>
  <c r="Q16" i="2"/>
  <c r="P16" i="2"/>
  <c r="O16" i="2"/>
  <c r="N16" i="2"/>
  <c r="Q12" i="2"/>
  <c r="P12" i="2"/>
  <c r="O12" i="2"/>
  <c r="N12" i="2"/>
  <c r="Q7" i="2"/>
  <c r="Q22" i="2" s="1"/>
  <c r="P7" i="2"/>
  <c r="P34" i="2" s="1"/>
  <c r="O7" i="2"/>
  <c r="O34" i="2" s="1"/>
  <c r="N7" i="2"/>
  <c r="N34" i="2" s="1"/>
  <c r="P31" i="2"/>
  <c r="P39" i="2" s="1"/>
  <c r="O31" i="2"/>
  <c r="O39" i="2" s="1"/>
  <c r="N31" i="2"/>
  <c r="N39" i="2" s="1"/>
  <c r="Q31" i="2"/>
  <c r="Q39" i="2" s="1"/>
  <c r="J25" i="2"/>
  <c r="J24" i="2"/>
  <c r="J21" i="2"/>
  <c r="J20" i="2"/>
  <c r="J19" i="2"/>
  <c r="L6" i="1"/>
  <c r="G31" i="2"/>
  <c r="K31" i="2"/>
  <c r="K25" i="2"/>
  <c r="K24" i="2"/>
  <c r="K21" i="2"/>
  <c r="K20" i="2"/>
  <c r="K19" i="2"/>
  <c r="J16" i="2"/>
  <c r="I16" i="2"/>
  <c r="H16" i="2"/>
  <c r="G16" i="2"/>
  <c r="D16" i="2"/>
  <c r="C16" i="2"/>
  <c r="K16" i="2"/>
  <c r="J12" i="2"/>
  <c r="I12" i="2"/>
  <c r="H12" i="2"/>
  <c r="G12" i="2"/>
  <c r="D12" i="2"/>
  <c r="C12" i="2"/>
  <c r="K12" i="2"/>
  <c r="J7" i="2"/>
  <c r="J34" i="2" s="1"/>
  <c r="I7" i="2"/>
  <c r="I34" i="2" s="1"/>
  <c r="H7" i="2"/>
  <c r="G7" i="2"/>
  <c r="D7" i="2"/>
  <c r="C7" i="2"/>
  <c r="K7" i="2"/>
  <c r="L3" i="1" a="1"/>
  <c r="L3" i="1" s="1"/>
  <c r="L5" i="1" s="1"/>
  <c r="I22" i="2" l="1"/>
  <c r="I26" i="2"/>
  <c r="U17" i="2"/>
  <c r="O26" i="2"/>
  <c r="O22" i="2"/>
  <c r="P22" i="2"/>
  <c r="K26" i="2"/>
  <c r="V17" i="2"/>
  <c r="Q34" i="2"/>
  <c r="J22" i="2"/>
  <c r="P26" i="2"/>
  <c r="Q26" i="2"/>
  <c r="J26" i="2"/>
  <c r="R17" i="2"/>
  <c r="O17" i="2"/>
  <c r="O27" i="2" s="1"/>
  <c r="S17" i="2"/>
  <c r="N17" i="2"/>
  <c r="P17" i="2"/>
  <c r="P27" i="2" s="1"/>
  <c r="Q17" i="2"/>
  <c r="Q27" i="2" s="1"/>
  <c r="L8" i="1"/>
  <c r="L10" i="1" s="1"/>
  <c r="C17" i="2"/>
  <c r="K17" i="2"/>
  <c r="K22" i="2"/>
  <c r="D17" i="2"/>
  <c r="G17" i="2"/>
  <c r="H17" i="2"/>
  <c r="I17" i="2"/>
  <c r="I27" i="2" s="1"/>
  <c r="J17" i="2"/>
  <c r="J27" i="2" s="1"/>
  <c r="K27" i="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alexa</author>
  </authors>
  <commentList>
    <comment ref="F4" authorId="0" shapeId="0" xr:uid="{88B73479-F7D2-49B9-A6CB-8B82F8E4D457}">
      <text>
        <r>
          <rPr>
            <b/>
            <sz val="9"/>
            <color indexed="81"/>
            <rFont val="Tahoma"/>
            <family val="2"/>
          </rPr>
          <t>alexa:</t>
        </r>
        <r>
          <rPr>
            <sz val="9"/>
            <color indexed="81"/>
            <rFont val="Tahoma"/>
            <family val="2"/>
          </rPr>
          <t xml:space="preserve">
since 2014</t>
        </r>
      </text>
    </comment>
    <comment ref="E12" authorId="0" shapeId="0" xr:uid="{FFBF7A77-2193-42DD-9CF5-C983EC25CD74}">
      <text>
        <r>
          <rPr>
            <b/>
            <sz val="9"/>
            <color indexed="81"/>
            <rFont val="Tahoma"/>
            <family val="2"/>
          </rPr>
          <t>alexa:</t>
        </r>
        <r>
          <rPr>
            <sz val="9"/>
            <color indexed="81"/>
            <rFont val="Tahoma"/>
            <family val="2"/>
          </rPr>
          <t xml:space="preserve">
almost 40% of revenue</t>
        </r>
      </text>
    </comment>
    <comment ref="E13" authorId="0" shapeId="0" xr:uid="{8AF27D00-828A-4E26-B17F-34BBBC6F0556}">
      <text>
        <r>
          <rPr>
            <b/>
            <sz val="9"/>
            <color indexed="81"/>
            <rFont val="Tahoma"/>
            <family val="2"/>
          </rPr>
          <t>alexa:</t>
        </r>
        <r>
          <rPr>
            <sz val="9"/>
            <color indexed="81"/>
            <rFont val="Tahoma"/>
            <family val="2"/>
          </rPr>
          <t xml:space="preserve">
60% of revenue</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<sst xmlns="http://schemas.openxmlformats.org/spreadsheetml/2006/main" count="70" uniqueCount="65">
  <si>
    <t>Ticket</t>
  </si>
  <si>
    <t>Price</t>
  </si>
  <si>
    <t>Shares</t>
  </si>
  <si>
    <t>MC</t>
  </si>
  <si>
    <t>Cash</t>
  </si>
  <si>
    <t>Debt</t>
  </si>
  <si>
    <t>EV</t>
  </si>
  <si>
    <t>main</t>
  </si>
  <si>
    <t>Merchandise and services</t>
  </si>
  <si>
    <t>Road transportation fuel</t>
  </si>
  <si>
    <t>Other</t>
  </si>
  <si>
    <t>Q1 2023</t>
  </si>
  <si>
    <t>Q2 2023</t>
  </si>
  <si>
    <t>Q3 2023</t>
  </si>
  <si>
    <t>Q4 2023</t>
  </si>
  <si>
    <t>Q1 2024</t>
  </si>
  <si>
    <t>Q2 2024</t>
  </si>
  <si>
    <t>Q3 2024</t>
  </si>
  <si>
    <t>Q4 2024</t>
  </si>
  <si>
    <t>Q1 2025</t>
  </si>
  <si>
    <t>(millions of US dollar)</t>
  </si>
  <si>
    <t>Revenue</t>
  </si>
  <si>
    <t>Merchandise Gross Profit</t>
  </si>
  <si>
    <t>Fuel Gross Profit</t>
  </si>
  <si>
    <t>Other Gross Profit</t>
  </si>
  <si>
    <t>Total Gross Profit</t>
  </si>
  <si>
    <t>S,G&amp;A</t>
  </si>
  <si>
    <t>Gain on disposal of PPE</t>
  </si>
  <si>
    <t>D&amp;A</t>
  </si>
  <si>
    <t>Total Opex</t>
  </si>
  <si>
    <t>Operating Income</t>
  </si>
  <si>
    <t>Revenue y/y</t>
  </si>
  <si>
    <t>Gross Margin</t>
  </si>
  <si>
    <t>Operating Margin</t>
  </si>
  <si>
    <t>CFFO</t>
  </si>
  <si>
    <t>CAPEX</t>
  </si>
  <si>
    <t>FCF</t>
  </si>
  <si>
    <t>Number of stores</t>
  </si>
  <si>
    <t>Revenue per store</t>
  </si>
  <si>
    <t>Acquisitions</t>
  </si>
  <si>
    <t>EV/FCF</t>
  </si>
  <si>
    <t>Buybacks</t>
  </si>
  <si>
    <t>Dividends</t>
  </si>
  <si>
    <t>Payout % FCF</t>
  </si>
  <si>
    <t>Founded</t>
  </si>
  <si>
    <t>Founder</t>
  </si>
  <si>
    <t>CEO</t>
  </si>
  <si>
    <t>HQ</t>
  </si>
  <si>
    <t>IPO</t>
  </si>
  <si>
    <t>Industry</t>
  </si>
  <si>
    <t>Employees</t>
  </si>
  <si>
    <t>Laval, Canada</t>
  </si>
  <si>
    <t>Brian Hannasch</t>
  </si>
  <si>
    <t>Alain Bouchard</t>
  </si>
  <si>
    <t>Food Retail, Consumer staples</t>
  </si>
  <si>
    <t>149k</t>
  </si>
  <si>
    <t>Products</t>
  </si>
  <si>
    <t>Fuel Sales</t>
  </si>
  <si>
    <t>Eletric vehicle charging</t>
  </si>
  <si>
    <t>Aviation Fuels</t>
  </si>
  <si>
    <t>News</t>
  </si>
  <si>
    <t>Acquired TotalEnergies retail assets for 3,1 billion euros, including 2175 sites across germany, netherlands, belgium and luxembourg</t>
  </si>
  <si>
    <t>Acquired GetGo + Market from Giant Eagle in US</t>
  </si>
  <si>
    <t xml:space="preserve">Alimentation is trying to buy 7-Eleven parent company, last offer was $47,2 billion </t>
  </si>
  <si>
    <t>Merchandise and services ( convenience stores)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</si>
</sst>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1009]* #,##0.00_-;\-[$$-1009]* #,##0.00_-;_-[$$-1009]* &quot;-&quot;??_-;_-@_-"/>
    <numFmt numFmtId="165" formatCode="0.0%"/>
    <numFmt numFmtId="167" formatCode="#,##0_ ;\-#,##0\ "/>
    <numFmt numFmtId="170" formatCode="0.0\x"/>
    <numFmt numFmtId="172" formatCode="_-[$$-409]* #,##0_ ;_-[$$-409]* \-#,##0\ ;_-[$$-409]* &quot;-&quot;??_ ;_-@_ "/>
  </numFmts>
  <fonts count="7" x14ac:knownFonts="1">
    <font>
      <sz val="11"/>
      <color theme="1"/>
      <name val="Aptos Narrow"/>
      <family val="2"/>
      <scheme val="minor"/>
    </font>
    <font>
      <sz val="10"/>
      <color theme="1"/>
      <name val="Arial"/>
      <family val="2"/>
    </font>
    <font>
      <b/>
      <sz val="10"/>
      <color theme="1"/>
      <name val="Arial"/>
      <family val="2"/>
    </font>
    <font>
      <u/>
      <sz val="11"/>
      <color theme="10"/>
      <name val="Aptos Narrow"/>
      <family val="2"/>
      <scheme val="minor"/>
    </font>
    <font>
      <u/>
      <sz val="10"/>
      <color theme="10"/>
      <name val="Arial"/>
      <family val="2"/>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1" fillId="0" borderId="0" xfId="0" applyFont="1"/>
    <xf numFmtId="0" fontId="2" fillId="0" borderId="0" xfId="0" applyFont="1"/>
    <xf numFmtId="164" fontId="1" fillId="0" borderId="0" xfId="0" applyNumberFormat="1" applyFont="1"/>
    <xf numFmtId="3" fontId="1" fillId="0" borderId="0" xfId="0" applyNumberFormat="1" applyFont="1"/>
    <xf numFmtId="0" fontId="4" fillId="0" borderId="0" xfId="1" applyFont="1"/>
    <xf numFmtId="14" fontId="1" fillId="0" borderId="0" xfId="0" applyNumberFormat="1" applyFont="1"/>
    <xf numFmtId="3" fontId="2" fillId="0" borderId="0" xfId="0" applyNumberFormat="1" applyFont="1"/>
    <xf numFmtId="165" fontId="1" fillId="0" borderId="0" xfId="0" applyNumberFormat="1" applyFont="1"/>
    <xf numFmtId="167" fontId="1" fillId="0" borderId="0" xfId="0" applyNumberFormat="1" applyFont="1"/>
    <xf numFmtId="170" fontId="1" fillId="0" borderId="0" xfId="0" applyNumberFormat="1" applyFont="1"/>
    <xf numFmtId="165" fontId="2" fillId="0" borderId="0" xfId="0" applyNumberFormat="1" applyFont="1"/>
    <xf numFmtId="172" fontId="1" fillId="0" borderId="0" xfId="0" applyNumberFormat="1" applyFont="1"/>
    <xf numFmtId="0" fontId="1" fillId="0" borderId="0" xfId="0" applyFont="1" applyAlignment="1">
      <alignment horizontal="left"/>
    </xf>
    <xf numFmtId="0" fontId="2"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drawings/drawing1.xml><?xml version="1.0" encoding="utf-8"?>
<xdr:wsDr xmlns:xdr="http://schemas.openxmlformats.org/drawingml/2006/spreadsheetDrawing" xmlns:a="http://schemas.openxmlformats.org/drawingml/2006/main">
  <xdr:twoCellAnchor>
    <xdr:from>
      <xdr:col>17</xdr:col>
      <xdr:colOff>0</xdr:colOff>
      <xdr:row>0</xdr:row>
      <xdr:rowOff>28575</xdr:rowOff>
    </xdr:from>
    <xdr:to>
      <xdr:col>17</xdr:col>
      <xdr:colOff>9525</xdr:colOff>
      <xdr:row>47</xdr:row>
      <xdr:rowOff>123825</xdr:rowOff>
    </xdr:to>
    <xdr:cxnSp macro="">
      <xdr:nvCxnSpPr>
        <xdr:cNvPr id="3" name="Straight Connector 2">
          <a:extLst>
            <a:ext uri="{FF2B5EF4-FFF2-40B4-BE49-F238E27FC236}">
              <a16:creationId xmlns:a16="http://schemas.microsoft.com/office/drawing/2014/main" id="{A92CF8A1-C5D2-DF80-A268-F90D78DE9FF7}"/>
            </a:ext>
          </a:extLst>
        </xdr:cNvPr>
        <xdr:cNvCxnSpPr/>
      </xdr:nvCxnSpPr>
      <xdr:spPr>
        <a:xfrm flipH="1">
          <a:off x="12096750" y="28575"/>
          <a:ext cx="9525" cy="7705725"/>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9525</xdr:colOff>
      <xdr:row>0</xdr:row>
      <xdr:rowOff>0</xdr:rowOff>
    </xdr:from>
    <xdr:to>
      <xdr:col>11</xdr:col>
      <xdr:colOff>19050</xdr:colOff>
      <xdr:row>48</xdr:row>
      <xdr:rowOff>95250</xdr:rowOff>
    </xdr:to>
    <xdr:cxnSp macro="">
      <xdr:nvCxnSpPr>
        <xdr:cNvPr id="6" name="Straight Connector 5">
          <a:extLst>
            <a:ext uri="{FF2B5EF4-FFF2-40B4-BE49-F238E27FC236}">
              <a16:creationId xmlns:a16="http://schemas.microsoft.com/office/drawing/2014/main" id="{802141AB-C181-80D3-AF03-B8D1157834EA}"/>
            </a:ext>
          </a:extLst>
        </xdr:cNvPr>
        <xdr:cNvCxnSpPr/>
      </xdr:nvCxnSpPr>
      <xdr:spPr>
        <a:xfrm flipH="1">
          <a:off x="7877175" y="0"/>
          <a:ext cx="9525" cy="786765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https://www.bing.com/financeapi/forcetrigger?t=aawuw7&amp;q=XTSE%3aATD&amp;form=skydnc</v>
    <v>Learn more on Bing</v>
  </rv>
  <rv s="1">
    <v>en-GB</v>
    <v>aawuw7</v>
    <v>268435456</v>
    <v>1</v>
    <v>Powered by Refinitiv</v>
    <v>0</v>
    <v>Alimentation Couche-Tard Inc (XTSE:ATD)</v>
    <v>2</v>
    <v>3</v>
    <v>Finance</v>
    <v>4</v>
    <v>87.27</v>
    <v>72.05</v>
    <v>0.88109999999999999</v>
    <v>-0.02</v>
    <v>0</v>
    <v>-2.7119999999999998E-4</v>
    <v>0</v>
    <v>CAD</v>
    <v>Alimentation Couche-Tard Inc. is engaged in convenience and mobility, operating in about 29 countries and territories, with more than 16,700 stores, of which almost 13,100 offer road transportation fuel. With its Couche-Tard and Circle K banners, the Company is an independent convenience store operator in the United States, and it is engaged in the convenience store industry and road transportation fuel retail in Canada, Scandinavia, the Baltics, as well as in Ireland. It also has a presence in Poland, Hong Kong Special Administrative Region of the People's Republic of China, Belgium, Germany, Luxembourg, and the Netherlands. Its North American network consists of about 17 business units, including 14 in the United States covering 47 states and three in Canada covering all 10 provinces. In Europe, it operates a broad retail network across Scandinavia, Ireland, Poland, and the Baltics through seven business units. Its operating brands include Circle K, Couche-Tard, and Ingo.</v>
    <v>149000</v>
    <v>Toronto Stock Exchange</v>
    <v>XTSE</v>
    <v>XTSE</v>
    <v>c/o Customer Relations 4204 Industrial Blvd, LAVAL, QC, H7L 0E3 CA</v>
    <v>74.265000000000001</v>
    <v>Oil &amp; Gas</v>
    <v>Stock</v>
    <v>45583.833333333336</v>
    <v>0</v>
    <v>73.36</v>
    <v>70137670000</v>
    <v>Alimentation Couche-Tard Inc</v>
    <v>Alimentation Couche-Tard Inc</v>
    <v>73.790000000000006</v>
    <v>19.2148</v>
    <v>73.75</v>
    <v>73.73</v>
    <v>73.73</v>
    <v>947985800</v>
    <v>ATD</v>
    <v>Alimentation Couche-Tard Inc (XTSE:ATD)</v>
    <v>830139</v>
    <v>1291530</v>
    <v>1994</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GMT</v>
      <v>Delayed 20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_-[$$-en-CA]* #,##0.00_-;-[$$-en-CA]* #,##0.00_-;_-[$$-en-CA]* "-"??_-;_-@_-</rpv>
    </rSty>
    <rSty dxfid="5">
      <rpv i="0">#,##0.00</rpv>
    </rSty>
    <rSty>
      <rpv i="1">1</rpv>
    </rSty>
    <rSty dxfid="4">
      <rpv i="0">#,##0</rpv>
    </rSty>
    <rSty dxfid="3"/>
    <rSty dxfid="1">
      <rpv i="0">_-[$$-en-CA]* #,##0_-;-[$$-en-CA]* #,##0_-;_-[$$-en-CA]*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73361-3685-4B61-B32E-864CB6B53A76}">
  <dimension ref="D2:L20"/>
  <sheetViews>
    <sheetView showGridLines="0" tabSelected="1" topLeftCell="D1" workbookViewId="0">
      <selection activeCell="F7" sqref="F7"/>
    </sheetView>
  </sheetViews>
  <sheetFormatPr defaultRowHeight="12.75" x14ac:dyDescent="0.2"/>
  <cols>
    <col min="1" max="4" width="9.140625" style="1"/>
    <col min="5" max="5" width="11.140625" style="1" customWidth="1"/>
    <col min="6" max="6" width="10.85546875" style="1" bestFit="1" customWidth="1"/>
    <col min="7" max="7" width="14.28515625" style="1" bestFit="1" customWidth="1"/>
    <col min="8" max="16384" width="9.140625" style="1"/>
  </cols>
  <sheetData>
    <row r="2" spans="5:12" x14ac:dyDescent="0.2">
      <c r="E2" s="14" t="s">
        <v>44</v>
      </c>
      <c r="F2" s="13">
        <v>1980</v>
      </c>
      <c r="K2" s="2" t="s">
        <v>0</v>
      </c>
      <c r="L2" s="1" t="e" vm="1">
        <v>#VALUE!</v>
      </c>
    </row>
    <row r="3" spans="5:12" x14ac:dyDescent="0.2">
      <c r="E3" s="14" t="s">
        <v>45</v>
      </c>
      <c r="F3" s="13" t="s">
        <v>53</v>
      </c>
      <c r="K3" s="2" t="s">
        <v>1</v>
      </c>
      <c r="L3" s="3" cm="1">
        <f t="array" aca="1" ref="L3" ca="1">+_FV(L2,"Price")</f>
        <v>73.73</v>
      </c>
    </row>
    <row r="4" spans="5:12" x14ac:dyDescent="0.2">
      <c r="E4" s="14" t="s">
        <v>46</v>
      </c>
      <c r="F4" s="13" t="s">
        <v>52</v>
      </c>
      <c r="K4" s="2" t="s">
        <v>2</v>
      </c>
      <c r="L4" s="1">
        <v>957.3</v>
      </c>
    </row>
    <row r="5" spans="5:12" x14ac:dyDescent="0.2">
      <c r="E5" s="14" t="s">
        <v>47</v>
      </c>
      <c r="F5" s="13" t="s">
        <v>51</v>
      </c>
      <c r="K5" s="2" t="s">
        <v>3</v>
      </c>
      <c r="L5" s="4">
        <f ca="1">+L3*L4</f>
        <v>70581.729000000007</v>
      </c>
    </row>
    <row r="6" spans="5:12" x14ac:dyDescent="0.2">
      <c r="E6" s="14" t="s">
        <v>48</v>
      </c>
      <c r="F6" s="13">
        <v>1984</v>
      </c>
      <c r="K6" s="2" t="s">
        <v>4</v>
      </c>
      <c r="L6" s="4">
        <f>1606.5+13.9+193.2+588.6+104.4</f>
        <v>2506.6000000000004</v>
      </c>
    </row>
    <row r="7" spans="5:12" x14ac:dyDescent="0.2">
      <c r="E7" s="14" t="s">
        <v>49</v>
      </c>
      <c r="F7" s="13" t="s">
        <v>54</v>
      </c>
      <c r="K7" s="2" t="s">
        <v>5</v>
      </c>
      <c r="L7" s="4">
        <v>19650</v>
      </c>
    </row>
    <row r="8" spans="5:12" x14ac:dyDescent="0.2">
      <c r="E8" s="14" t="s">
        <v>50</v>
      </c>
      <c r="F8" s="1" t="s">
        <v>55</v>
      </c>
      <c r="K8" s="2" t="s">
        <v>6</v>
      </c>
      <c r="L8" s="4">
        <f ca="1">+L5-L6+L7</f>
        <v>87725.129000000001</v>
      </c>
    </row>
    <row r="9" spans="5:12" x14ac:dyDescent="0.2">
      <c r="E9" s="13"/>
    </row>
    <row r="10" spans="5:12" x14ac:dyDescent="0.2">
      <c r="K10" s="2" t="s">
        <v>40</v>
      </c>
      <c r="L10" s="10">
        <f ca="1">+L8/2874</f>
        <v>30.523705288796105</v>
      </c>
    </row>
    <row r="11" spans="5:12" x14ac:dyDescent="0.2">
      <c r="E11" s="2" t="s">
        <v>56</v>
      </c>
    </row>
    <row r="12" spans="5:12" x14ac:dyDescent="0.2">
      <c r="E12" s="13" t="s">
        <v>64</v>
      </c>
    </row>
    <row r="13" spans="5:12" x14ac:dyDescent="0.2">
      <c r="E13" s="13" t="s">
        <v>57</v>
      </c>
    </row>
    <row r="14" spans="5:12" x14ac:dyDescent="0.2">
      <c r="E14" s="13" t="s">
        <v>58</v>
      </c>
    </row>
    <row r="15" spans="5:12" x14ac:dyDescent="0.2">
      <c r="E15" s="13" t="s">
        <v>59</v>
      </c>
    </row>
    <row r="17" spans="4:5" x14ac:dyDescent="0.2">
      <c r="E17" s="2" t="s">
        <v>60</v>
      </c>
    </row>
    <row r="18" spans="4:5" x14ac:dyDescent="0.2">
      <c r="D18" s="1">
        <v>2024</v>
      </c>
      <c r="E18" s="1" t="s">
        <v>61</v>
      </c>
    </row>
    <row r="19" spans="4:5" x14ac:dyDescent="0.2">
      <c r="D19" s="1">
        <v>2024</v>
      </c>
      <c r="E19" s="1" t="s">
        <v>62</v>
      </c>
    </row>
    <row r="20" spans="4:5" x14ac:dyDescent="0.2">
      <c r="E20" s="1" t="s">
        <v>63</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E1A78-1DE0-4A0C-A237-6C975A056515}">
  <dimension ref="A1:W39"/>
  <sheetViews>
    <sheetView workbookViewId="0">
      <pane xSplit="2" ySplit="2" topLeftCell="C3" activePane="bottomRight" state="frozen"/>
      <selection pane="topRight" activeCell="C1" sqref="C1"/>
      <selection pane="bottomLeft" activeCell="A3" sqref="A3"/>
      <selection pane="bottomRight" activeCell="K26" sqref="K26"/>
    </sheetView>
  </sheetViews>
  <sheetFormatPr defaultRowHeight="12.75" x14ac:dyDescent="0.2"/>
  <cols>
    <col min="1" max="1" width="5" style="1" bestFit="1" customWidth="1"/>
    <col min="2" max="2" width="26.85546875" style="1" bestFit="1" customWidth="1"/>
    <col min="3" max="6" width="9.140625" style="1"/>
    <col min="7" max="7" width="10.140625" style="1" bestFit="1" customWidth="1"/>
    <col min="8" max="8" width="9.140625" style="1"/>
    <col min="9" max="9" width="9.7109375" style="1" bestFit="1" customWidth="1"/>
    <col min="10" max="10" width="10.28515625" style="1" bestFit="1" customWidth="1"/>
    <col min="11" max="11" width="10.28515625" style="1" customWidth="1"/>
    <col min="12" max="13" width="9.140625" style="1"/>
    <col min="14" max="17" width="11.28515625" style="1" bestFit="1" customWidth="1"/>
    <col min="18" max="16384" width="9.140625" style="1"/>
  </cols>
  <sheetData>
    <row r="1" spans="1:23" x14ac:dyDescent="0.2">
      <c r="A1" s="5" t="s">
        <v>7</v>
      </c>
      <c r="G1" s="6">
        <v>45130</v>
      </c>
      <c r="K1" s="6">
        <v>45494</v>
      </c>
    </row>
    <row r="2" spans="1:23" x14ac:dyDescent="0.2">
      <c r="B2" s="1" t="s">
        <v>20</v>
      </c>
      <c r="C2" s="2" t="s">
        <v>11</v>
      </c>
      <c r="D2" s="2" t="s">
        <v>12</v>
      </c>
      <c r="E2" s="2" t="s">
        <v>13</v>
      </c>
      <c r="F2" s="2" t="s">
        <v>14</v>
      </c>
      <c r="G2" s="2" t="s">
        <v>15</v>
      </c>
      <c r="H2" s="2" t="s">
        <v>16</v>
      </c>
      <c r="I2" s="2" t="s">
        <v>17</v>
      </c>
      <c r="J2" s="2" t="s">
        <v>18</v>
      </c>
      <c r="K2" s="2" t="s">
        <v>19</v>
      </c>
      <c r="N2" s="2">
        <v>2021</v>
      </c>
      <c r="O2" s="2">
        <v>2022</v>
      </c>
      <c r="P2" s="2">
        <v>2023</v>
      </c>
      <c r="Q2" s="2">
        <v>2024</v>
      </c>
      <c r="R2" s="2">
        <f>+Q2+1</f>
        <v>2025</v>
      </c>
      <c r="S2" s="2">
        <f t="shared" ref="S2:W2" si="0">+R2+1</f>
        <v>2026</v>
      </c>
      <c r="T2" s="2">
        <f t="shared" si="0"/>
        <v>2027</v>
      </c>
      <c r="U2" s="2">
        <f t="shared" si="0"/>
        <v>2028</v>
      </c>
      <c r="V2" s="2">
        <f t="shared" si="0"/>
        <v>2029</v>
      </c>
      <c r="W2" s="2">
        <f t="shared" si="0"/>
        <v>2030</v>
      </c>
    </row>
    <row r="3" spans="1:23" x14ac:dyDescent="0.2">
      <c r="B3" s="1" t="s">
        <v>8</v>
      </c>
      <c r="C3" s="4">
        <v>4072.5</v>
      </c>
      <c r="D3" s="4">
        <v>4071.8</v>
      </c>
      <c r="E3" s="4">
        <v>4961.2</v>
      </c>
      <c r="F3" s="4">
        <v>4177.8999999999996</v>
      </c>
      <c r="G3" s="4">
        <v>4275.8</v>
      </c>
      <c r="H3" s="4">
        <v>4113.8</v>
      </c>
      <c r="I3" s="4">
        <v>5039.6000000000004</v>
      </c>
      <c r="J3" s="4">
        <v>4106.7</v>
      </c>
      <c r="K3" s="4">
        <v>4493.1000000000004</v>
      </c>
      <c r="N3" s="4">
        <v>15873</v>
      </c>
      <c r="O3" s="4">
        <v>16603.8</v>
      </c>
      <c r="P3" s="4">
        <v>17283.400000000001</v>
      </c>
      <c r="Q3" s="4">
        <v>17535.900000000001</v>
      </c>
      <c r="R3" s="4"/>
      <c r="S3" s="4"/>
      <c r="T3" s="4"/>
      <c r="U3" s="4"/>
      <c r="V3" s="4"/>
      <c r="W3" s="4"/>
    </row>
    <row r="4" spans="1:23" x14ac:dyDescent="0.2">
      <c r="B4" s="1" t="s">
        <v>9</v>
      </c>
      <c r="C4" s="4">
        <v>14319.1</v>
      </c>
      <c r="D4" s="4">
        <v>12526.6</v>
      </c>
      <c r="E4" s="4">
        <v>14715.2</v>
      </c>
      <c r="F4" s="4">
        <v>11851.5</v>
      </c>
      <c r="G4" s="4">
        <v>11235.2</v>
      </c>
      <c r="H4" s="4">
        <v>12155.9</v>
      </c>
      <c r="I4" s="4">
        <v>14333</v>
      </c>
      <c r="J4" s="4">
        <v>13299.1</v>
      </c>
      <c r="K4" s="4">
        <v>13656.6</v>
      </c>
      <c r="N4" s="4">
        <v>29405.3</v>
      </c>
      <c r="O4" s="4">
        <v>45351.4</v>
      </c>
      <c r="P4" s="4">
        <v>53412.4</v>
      </c>
      <c r="Q4" s="4">
        <v>51023.199999999997</v>
      </c>
      <c r="R4" s="4"/>
      <c r="S4" s="4"/>
      <c r="T4" s="4"/>
      <c r="U4" s="4"/>
      <c r="V4" s="4"/>
      <c r="W4" s="4"/>
    </row>
    <row r="5" spans="1:23" x14ac:dyDescent="0.2">
      <c r="B5" s="1" t="s">
        <v>10</v>
      </c>
      <c r="C5" s="4">
        <v>266.10000000000002</v>
      </c>
      <c r="D5" s="4">
        <v>281.10000000000002</v>
      </c>
      <c r="E5" s="4">
        <v>378.7</v>
      </c>
      <c r="F5" s="4">
        <v>235</v>
      </c>
      <c r="G5" s="4">
        <v>112.2</v>
      </c>
      <c r="H5" s="4">
        <v>155.9</v>
      </c>
      <c r="I5" s="4">
        <v>249.4</v>
      </c>
      <c r="J5" s="4">
        <v>186.9</v>
      </c>
      <c r="K5" s="4">
        <v>127.8</v>
      </c>
      <c r="N5" s="4">
        <v>481</v>
      </c>
      <c r="O5" s="4">
        <v>854.7</v>
      </c>
      <c r="P5" s="4">
        <v>1160.9000000000001</v>
      </c>
      <c r="Q5" s="4">
        <v>704.4</v>
      </c>
      <c r="R5" s="4"/>
      <c r="S5" s="4"/>
      <c r="T5" s="4"/>
      <c r="U5" s="4"/>
      <c r="V5" s="4"/>
      <c r="W5" s="4"/>
    </row>
    <row r="6" spans="1:23" x14ac:dyDescent="0.2">
      <c r="C6" s="4"/>
      <c r="D6" s="4"/>
      <c r="E6" s="4"/>
      <c r="F6" s="4"/>
      <c r="G6" s="4"/>
      <c r="H6" s="4"/>
      <c r="I6" s="4"/>
      <c r="J6" s="4"/>
      <c r="K6" s="4"/>
      <c r="N6" s="4"/>
      <c r="O6" s="4"/>
      <c r="P6" s="4"/>
      <c r="Q6" s="4"/>
      <c r="R6" s="4"/>
      <c r="S6" s="4"/>
      <c r="T6" s="4"/>
      <c r="U6" s="4"/>
      <c r="V6" s="4"/>
      <c r="W6" s="4"/>
    </row>
    <row r="7" spans="1:23" x14ac:dyDescent="0.2">
      <c r="A7" s="2"/>
      <c r="B7" s="2" t="s">
        <v>21</v>
      </c>
      <c r="C7" s="7">
        <f t="shared" ref="C7:J7" si="1">+SUM(C3:C5)</f>
        <v>18657.699999999997</v>
      </c>
      <c r="D7" s="7">
        <f t="shared" si="1"/>
        <v>16879.5</v>
      </c>
      <c r="E7" s="7">
        <f t="shared" ref="E7" si="2">+SUM(E3:E5)</f>
        <v>20055.100000000002</v>
      </c>
      <c r="F7" s="7">
        <f t="shared" si="1"/>
        <v>16264.4</v>
      </c>
      <c r="G7" s="7">
        <f t="shared" si="1"/>
        <v>15623.2</v>
      </c>
      <c r="H7" s="7">
        <f t="shared" si="1"/>
        <v>16425.600000000002</v>
      </c>
      <c r="I7" s="7">
        <f t="shared" si="1"/>
        <v>19622</v>
      </c>
      <c r="J7" s="7">
        <f t="shared" si="1"/>
        <v>17592.7</v>
      </c>
      <c r="K7" s="7">
        <f>+SUM(K3:K5)</f>
        <v>18277.5</v>
      </c>
      <c r="L7" s="4"/>
      <c r="N7" s="7">
        <f t="shared" ref="N7:Q7" si="3">+SUM(N3:N5)</f>
        <v>45759.3</v>
      </c>
      <c r="O7" s="7">
        <f t="shared" si="3"/>
        <v>62809.899999999994</v>
      </c>
      <c r="P7" s="7">
        <f t="shared" si="3"/>
        <v>71856.7</v>
      </c>
      <c r="Q7" s="7">
        <f t="shared" si="3"/>
        <v>69263.5</v>
      </c>
      <c r="R7" s="7">
        <f t="shared" ref="R7:W7" si="4">+SUM(R3:R5)</f>
        <v>0</v>
      </c>
      <c r="S7" s="7">
        <f t="shared" si="4"/>
        <v>0</v>
      </c>
      <c r="T7" s="7">
        <f t="shared" si="4"/>
        <v>0</v>
      </c>
      <c r="U7" s="7">
        <f t="shared" si="4"/>
        <v>0</v>
      </c>
      <c r="V7" s="7">
        <f t="shared" si="4"/>
        <v>0</v>
      </c>
      <c r="W7" s="7">
        <f t="shared" si="4"/>
        <v>0</v>
      </c>
    </row>
    <row r="8" spans="1:23" x14ac:dyDescent="0.2">
      <c r="N8" s="4"/>
      <c r="O8" s="4"/>
      <c r="P8" s="4"/>
      <c r="Q8" s="4"/>
      <c r="R8" s="4"/>
      <c r="S8" s="4"/>
      <c r="T8" s="4"/>
      <c r="U8" s="4"/>
      <c r="V8" s="4"/>
      <c r="W8" s="4"/>
    </row>
    <row r="9" spans="1:23" x14ac:dyDescent="0.2">
      <c r="B9" s="1" t="s">
        <v>22</v>
      </c>
      <c r="C9" s="4">
        <v>1402.9</v>
      </c>
      <c r="D9" s="4">
        <v>1403.6</v>
      </c>
      <c r="E9" s="4">
        <v>1669.8</v>
      </c>
      <c r="F9" s="4">
        <v>1463.1</v>
      </c>
      <c r="G9" s="4">
        <v>1497.9</v>
      </c>
      <c r="H9" s="4">
        <v>1442.7</v>
      </c>
      <c r="I9" s="4">
        <v>1722.3</v>
      </c>
      <c r="J9" s="4">
        <v>1442.5</v>
      </c>
      <c r="K9" s="4">
        <v>1574.1</v>
      </c>
      <c r="N9" s="4">
        <v>5315.1</v>
      </c>
      <c r="O9" s="4">
        <v>5662.1</v>
      </c>
      <c r="P9" s="4">
        <v>5939.4</v>
      </c>
      <c r="Q9" s="4">
        <v>6105.4</v>
      </c>
      <c r="R9" s="4"/>
      <c r="S9" s="4"/>
      <c r="T9" s="4"/>
      <c r="U9" s="4"/>
      <c r="V9" s="4"/>
      <c r="W9" s="4"/>
    </row>
    <row r="10" spans="1:23" x14ac:dyDescent="0.2">
      <c r="B10" s="1" t="s">
        <v>23</v>
      </c>
      <c r="C10" s="4">
        <v>1444.5</v>
      </c>
      <c r="D10" s="4">
        <v>1424.7</v>
      </c>
      <c r="E10" s="4">
        <v>1682.2</v>
      </c>
      <c r="F10" s="4">
        <v>1405.2</v>
      </c>
      <c r="G10" s="4">
        <v>1409.3</v>
      </c>
      <c r="H10" s="4">
        <v>1454.6</v>
      </c>
      <c r="I10" s="4">
        <v>1665.6</v>
      </c>
      <c r="J10" s="4">
        <v>1287.4000000000001</v>
      </c>
      <c r="K10" s="4">
        <v>1549.8</v>
      </c>
      <c r="N10" s="4">
        <v>4606.5</v>
      </c>
      <c r="O10" s="4">
        <v>5177.1000000000004</v>
      </c>
      <c r="P10" s="4">
        <v>5956.6</v>
      </c>
      <c r="Q10" s="4">
        <v>5816.9</v>
      </c>
      <c r="R10" s="4"/>
      <c r="S10" s="4"/>
      <c r="T10" s="4"/>
      <c r="U10" s="4"/>
      <c r="V10" s="4"/>
      <c r="W10" s="4"/>
    </row>
    <row r="11" spans="1:23" x14ac:dyDescent="0.2">
      <c r="B11" s="1" t="s">
        <v>24</v>
      </c>
      <c r="C11" s="4">
        <v>35.4</v>
      </c>
      <c r="D11" s="4">
        <v>31.9</v>
      </c>
      <c r="E11" s="4">
        <v>48.5</v>
      </c>
      <c r="F11" s="4">
        <v>40.299999999999997</v>
      </c>
      <c r="G11" s="4">
        <v>31.2</v>
      </c>
      <c r="H11" s="4">
        <v>39.200000000000003</v>
      </c>
      <c r="I11" s="4">
        <v>53.6</v>
      </c>
      <c r="J11" s="4">
        <v>51.6</v>
      </c>
      <c r="K11" s="4">
        <v>49.2</v>
      </c>
      <c r="N11" s="4">
        <v>193.7</v>
      </c>
      <c r="O11" s="4">
        <v>165.6</v>
      </c>
      <c r="P11" s="4">
        <v>156.1</v>
      </c>
      <c r="Q11" s="4">
        <v>175.6</v>
      </c>
      <c r="R11" s="4"/>
      <c r="S11" s="4"/>
      <c r="T11" s="4"/>
      <c r="U11" s="4"/>
      <c r="V11" s="4"/>
      <c r="W11" s="4"/>
    </row>
    <row r="12" spans="1:23" x14ac:dyDescent="0.2">
      <c r="B12" s="1" t="s">
        <v>25</v>
      </c>
      <c r="C12" s="4">
        <f t="shared" ref="C12:J12" si="5">+SUM(C9:C11)</f>
        <v>2882.8</v>
      </c>
      <c r="D12" s="4">
        <f t="shared" si="5"/>
        <v>2860.2000000000003</v>
      </c>
      <c r="E12" s="4">
        <f t="shared" si="5"/>
        <v>3400.5</v>
      </c>
      <c r="F12" s="4">
        <f t="shared" si="5"/>
        <v>2908.6000000000004</v>
      </c>
      <c r="G12" s="4">
        <f t="shared" si="5"/>
        <v>2938.3999999999996</v>
      </c>
      <c r="H12" s="4">
        <f t="shared" si="5"/>
        <v>2936.5</v>
      </c>
      <c r="I12" s="4">
        <f t="shared" si="5"/>
        <v>3441.4999999999995</v>
      </c>
      <c r="J12" s="4">
        <f t="shared" si="5"/>
        <v>2781.5</v>
      </c>
      <c r="K12" s="4">
        <f>+SUM(K9:K11)</f>
        <v>3173.0999999999995</v>
      </c>
      <c r="N12" s="4">
        <f t="shared" ref="N12:Q12" si="6">+SUM(N9:N11)</f>
        <v>10115.300000000001</v>
      </c>
      <c r="O12" s="4">
        <f t="shared" si="6"/>
        <v>11004.800000000001</v>
      </c>
      <c r="P12" s="4">
        <f t="shared" si="6"/>
        <v>12052.1</v>
      </c>
      <c r="Q12" s="4">
        <f t="shared" si="6"/>
        <v>12097.9</v>
      </c>
      <c r="R12" s="4">
        <f t="shared" ref="R12" si="7">+SUM(R9:R11)</f>
        <v>0</v>
      </c>
      <c r="S12" s="4">
        <f t="shared" ref="S12" si="8">+SUM(S9:S11)</f>
        <v>0</v>
      </c>
      <c r="T12" s="4">
        <f t="shared" ref="T12" si="9">+SUM(T9:T11)</f>
        <v>0</v>
      </c>
      <c r="U12" s="4">
        <f t="shared" ref="U12" si="10">+SUM(U9:U11)</f>
        <v>0</v>
      </c>
      <c r="V12" s="4">
        <f t="shared" ref="V12" si="11">+SUM(V9:V11)</f>
        <v>0</v>
      </c>
      <c r="W12" s="4">
        <f t="shared" ref="W12" si="12">+SUM(W9:W11)</f>
        <v>0</v>
      </c>
    </row>
    <row r="13" spans="1:23" x14ac:dyDescent="0.2">
      <c r="B13" s="1" t="s">
        <v>26</v>
      </c>
      <c r="C13" s="4">
        <v>1398.1</v>
      </c>
      <c r="D13" s="4">
        <v>1433</v>
      </c>
      <c r="E13" s="4">
        <v>1916.1</v>
      </c>
      <c r="F13" s="4">
        <v>1614.6</v>
      </c>
      <c r="G13" s="4">
        <v>1439.1</v>
      </c>
      <c r="H13" s="4">
        <v>1468.3</v>
      </c>
      <c r="I13" s="4">
        <v>1975.3</v>
      </c>
      <c r="J13" s="4">
        <v>1642.5</v>
      </c>
      <c r="K13" s="4">
        <v>1632.5</v>
      </c>
      <c r="N13" s="4">
        <v>5148.6000000000004</v>
      </c>
      <c r="O13" s="4">
        <v>5884.5</v>
      </c>
      <c r="P13" s="4">
        <v>6361.8</v>
      </c>
      <c r="Q13" s="4">
        <v>6525.2</v>
      </c>
      <c r="R13" s="4"/>
      <c r="S13" s="4"/>
      <c r="T13" s="4"/>
      <c r="U13" s="4"/>
      <c r="V13" s="4"/>
      <c r="W13" s="4"/>
    </row>
    <row r="14" spans="1:23" x14ac:dyDescent="0.2">
      <c r="B14" s="1" t="s">
        <v>27</v>
      </c>
      <c r="C14" s="4">
        <v>-13</v>
      </c>
      <c r="D14" s="4">
        <v>-20.399999999999999</v>
      </c>
      <c r="E14" s="4">
        <v>-4.9000000000000004</v>
      </c>
      <c r="F14" s="4">
        <v>-29.3</v>
      </c>
      <c r="G14" s="4">
        <v>-3.5</v>
      </c>
      <c r="H14" s="4">
        <v>0.2</v>
      </c>
      <c r="I14" s="4">
        <v>1.4</v>
      </c>
      <c r="J14" s="4">
        <v>4.3</v>
      </c>
      <c r="K14" s="4">
        <v>-38.299999999999997</v>
      </c>
      <c r="N14" s="4">
        <v>-67.8</v>
      </c>
      <c r="O14" s="4">
        <v>-103.9</v>
      </c>
      <c r="P14" s="4">
        <v>-67.599999999999994</v>
      </c>
      <c r="Q14" s="4">
        <v>2.4</v>
      </c>
      <c r="R14" s="4"/>
      <c r="S14" s="4"/>
      <c r="T14" s="4"/>
      <c r="U14" s="4"/>
      <c r="V14" s="4"/>
      <c r="W14" s="4"/>
    </row>
    <row r="15" spans="1:23" x14ac:dyDescent="0.2">
      <c r="B15" s="1" t="s">
        <v>28</v>
      </c>
      <c r="C15" s="4">
        <v>319.2</v>
      </c>
      <c r="D15" s="4">
        <v>353.9</v>
      </c>
      <c r="E15" s="4">
        <v>463.2</v>
      </c>
      <c r="F15" s="4">
        <v>389.6</v>
      </c>
      <c r="G15" s="4">
        <v>360.5</v>
      </c>
      <c r="H15" s="4">
        <v>369.6</v>
      </c>
      <c r="I15" s="4">
        <v>537.5</v>
      </c>
      <c r="J15" s="4">
        <v>492.5</v>
      </c>
      <c r="K15" s="4">
        <v>440.9</v>
      </c>
      <c r="N15" s="4">
        <v>1358.9</v>
      </c>
      <c r="O15" s="4">
        <v>1545.7</v>
      </c>
      <c r="P15" s="4">
        <v>1525.9</v>
      </c>
      <c r="Q15" s="4">
        <v>1760.1</v>
      </c>
      <c r="R15" s="4"/>
      <c r="S15" s="4"/>
      <c r="T15" s="4"/>
      <c r="U15" s="4"/>
      <c r="V15" s="4"/>
      <c r="W15" s="4"/>
    </row>
    <row r="16" spans="1:23" x14ac:dyDescent="0.2">
      <c r="B16" s="1" t="s">
        <v>29</v>
      </c>
      <c r="C16" s="4">
        <f t="shared" ref="C16:J16" si="13">+C13+C14+C15</f>
        <v>1704.3</v>
      </c>
      <c r="D16" s="4">
        <f t="shared" si="13"/>
        <v>1766.5</v>
      </c>
      <c r="E16" s="4">
        <f t="shared" si="13"/>
        <v>2374.3999999999996</v>
      </c>
      <c r="F16" s="4">
        <f t="shared" si="13"/>
        <v>1974.9</v>
      </c>
      <c r="G16" s="4">
        <f t="shared" si="13"/>
        <v>1796.1</v>
      </c>
      <c r="H16" s="4">
        <f t="shared" si="13"/>
        <v>1838.1</v>
      </c>
      <c r="I16" s="4">
        <f t="shared" si="13"/>
        <v>2514.1999999999998</v>
      </c>
      <c r="J16" s="4">
        <f t="shared" si="13"/>
        <v>2139.3000000000002</v>
      </c>
      <c r="K16" s="4">
        <f>+K13+K14+K15</f>
        <v>2035.1</v>
      </c>
      <c r="N16" s="4">
        <f t="shared" ref="N16:Q16" si="14">+N13+N14+N15</f>
        <v>6439.7000000000007</v>
      </c>
      <c r="O16" s="4">
        <f t="shared" si="14"/>
        <v>7326.3</v>
      </c>
      <c r="P16" s="4">
        <f t="shared" si="14"/>
        <v>7820.1</v>
      </c>
      <c r="Q16" s="4">
        <f t="shared" si="14"/>
        <v>8287.6999999999989</v>
      </c>
      <c r="R16" s="4">
        <f t="shared" ref="R16" si="15">+R13+R14+R15</f>
        <v>0</v>
      </c>
      <c r="S16" s="4">
        <f t="shared" ref="S16" si="16">+S13+S14+S15</f>
        <v>0</v>
      </c>
      <c r="T16" s="4">
        <f t="shared" ref="T16" si="17">+T13+T14+T15</f>
        <v>0</v>
      </c>
      <c r="U16" s="4">
        <f t="shared" ref="U16" si="18">+U13+U14+U15</f>
        <v>0</v>
      </c>
      <c r="V16" s="4">
        <f t="shared" ref="V16" si="19">+V13+V14+V15</f>
        <v>0</v>
      </c>
      <c r="W16" s="4">
        <f t="shared" ref="W16" si="20">+W13+W14+W15</f>
        <v>0</v>
      </c>
    </row>
    <row r="17" spans="2:23" x14ac:dyDescent="0.2">
      <c r="B17" s="2" t="s">
        <v>30</v>
      </c>
      <c r="C17" s="7">
        <f t="shared" ref="C17:J17" si="21">+C12-C16</f>
        <v>1178.5000000000002</v>
      </c>
      <c r="D17" s="7">
        <f t="shared" si="21"/>
        <v>1093.7000000000003</v>
      </c>
      <c r="E17" s="7">
        <f t="shared" si="21"/>
        <v>1026.1000000000004</v>
      </c>
      <c r="F17" s="7">
        <f t="shared" si="21"/>
        <v>933.70000000000027</v>
      </c>
      <c r="G17" s="7">
        <f t="shared" si="21"/>
        <v>1142.2999999999997</v>
      </c>
      <c r="H17" s="7">
        <f t="shared" si="21"/>
        <v>1098.4000000000001</v>
      </c>
      <c r="I17" s="7">
        <f t="shared" si="21"/>
        <v>927.29999999999973</v>
      </c>
      <c r="J17" s="7">
        <f t="shared" si="21"/>
        <v>642.19999999999982</v>
      </c>
      <c r="K17" s="7">
        <f>+K12-K16</f>
        <v>1137.9999999999995</v>
      </c>
      <c r="L17" s="2"/>
      <c r="M17" s="2"/>
      <c r="N17" s="7">
        <f t="shared" ref="N17:Q17" si="22">+N12-N16</f>
        <v>3675.6000000000004</v>
      </c>
      <c r="O17" s="7">
        <f t="shared" si="22"/>
        <v>3678.5000000000009</v>
      </c>
      <c r="P17" s="7">
        <f t="shared" si="22"/>
        <v>4232</v>
      </c>
      <c r="Q17" s="7">
        <f t="shared" si="22"/>
        <v>3810.2000000000007</v>
      </c>
      <c r="R17" s="7">
        <f t="shared" ref="R17" si="23">+R12-R16</f>
        <v>0</v>
      </c>
      <c r="S17" s="7">
        <f t="shared" ref="S17" si="24">+S12-S16</f>
        <v>0</v>
      </c>
      <c r="T17" s="7">
        <f t="shared" ref="T17" si="25">+T12-T16</f>
        <v>0</v>
      </c>
      <c r="U17" s="7">
        <f t="shared" ref="U17" si="26">+U12-U16</f>
        <v>0</v>
      </c>
      <c r="V17" s="7">
        <f t="shared" ref="V17" si="27">+V12-V16</f>
        <v>0</v>
      </c>
      <c r="W17" s="7">
        <f t="shared" ref="W17" si="28">+W12-W16</f>
        <v>0</v>
      </c>
    </row>
    <row r="18" spans="2:23" x14ac:dyDescent="0.2">
      <c r="C18" s="4"/>
      <c r="D18" s="4"/>
      <c r="E18" s="4"/>
      <c r="F18" s="4"/>
      <c r="G18" s="4"/>
      <c r="H18" s="4"/>
      <c r="I18" s="4"/>
      <c r="J18" s="4"/>
      <c r="K18" s="4"/>
    </row>
    <row r="19" spans="2:23" x14ac:dyDescent="0.2">
      <c r="B19" s="1" t="s">
        <v>8</v>
      </c>
      <c r="C19" s="4"/>
      <c r="D19" s="4"/>
      <c r="E19" s="4"/>
      <c r="F19" s="4"/>
      <c r="G19" s="8">
        <f t="shared" ref="G19:G21" si="29">+G3/C3-1</f>
        <v>4.9920196439533493E-2</v>
      </c>
      <c r="H19" s="8">
        <f t="shared" ref="H19:H21" si="30">+H3/D3-1</f>
        <v>1.0314848469964222E-2</v>
      </c>
      <c r="I19" s="8">
        <f t="shared" ref="I19:I21" si="31">+I3/E3-1</f>
        <v>1.5802628396355933E-2</v>
      </c>
      <c r="J19" s="8">
        <f>+J3/F3-1</f>
        <v>-1.7042054620742486E-2</v>
      </c>
      <c r="K19" s="8">
        <f>+K3/G3-1</f>
        <v>5.0820899013050314E-2</v>
      </c>
      <c r="O19" s="8">
        <f t="shared" ref="O19:Q19" si="32">+O3/N3-1</f>
        <v>4.6040446040445993E-2</v>
      </c>
      <c r="P19" s="8">
        <f t="shared" si="32"/>
        <v>4.0930389428926128E-2</v>
      </c>
      <c r="Q19" s="8">
        <f>+Q3/P3-1</f>
        <v>1.4609393984979846E-2</v>
      </c>
    </row>
    <row r="20" spans="2:23" x14ac:dyDescent="0.2">
      <c r="B20" s="1" t="s">
        <v>9</v>
      </c>
      <c r="C20" s="4"/>
      <c r="D20" s="4"/>
      <c r="E20" s="4"/>
      <c r="F20" s="4"/>
      <c r="G20" s="8">
        <f t="shared" si="29"/>
        <v>-0.21536968105537357</v>
      </c>
      <c r="H20" s="8">
        <f t="shared" si="30"/>
        <v>-2.9593026040585668E-2</v>
      </c>
      <c r="I20" s="8">
        <f t="shared" si="31"/>
        <v>-2.5973143416331501E-2</v>
      </c>
      <c r="J20" s="8">
        <f>+J4/F4-1</f>
        <v>0.12214487617601155</v>
      </c>
      <c r="K20" s="8">
        <f>+K4/G4-1</f>
        <v>0.21551908288236965</v>
      </c>
      <c r="O20" s="8">
        <f t="shared" ref="O20:Q20" si="33">+O4/N4-1</f>
        <v>0.54228659459349182</v>
      </c>
      <c r="P20" s="8">
        <f t="shared" si="33"/>
        <v>0.17774533972490381</v>
      </c>
      <c r="Q20" s="8">
        <f>+Q4/P4-1</f>
        <v>-4.4731186016730318E-2</v>
      </c>
    </row>
    <row r="21" spans="2:23" x14ac:dyDescent="0.2">
      <c r="B21" s="1" t="s">
        <v>10</v>
      </c>
      <c r="C21" s="4"/>
      <c r="D21" s="4"/>
      <c r="E21" s="4"/>
      <c r="F21" s="4"/>
      <c r="G21" s="8">
        <f t="shared" si="29"/>
        <v>-0.5783540022547915</v>
      </c>
      <c r="H21" s="8">
        <f t="shared" si="30"/>
        <v>-0.44539309854144438</v>
      </c>
      <c r="I21" s="8">
        <f t="shared" si="31"/>
        <v>-0.34143121204119353</v>
      </c>
      <c r="J21" s="8">
        <f>+J5/F5-1</f>
        <v>-0.20468085106382972</v>
      </c>
      <c r="K21" s="8">
        <f>+K5/G5-1</f>
        <v>0.1390374331550801</v>
      </c>
      <c r="O21" s="8">
        <f t="shared" ref="O21:Q21" si="34">+O5/N5-1</f>
        <v>0.77692307692307705</v>
      </c>
      <c r="P21" s="8">
        <f t="shared" si="34"/>
        <v>0.35825435825435825</v>
      </c>
      <c r="Q21" s="8">
        <f>+Q5/P5-1</f>
        <v>-0.39322939098974941</v>
      </c>
    </row>
    <row r="22" spans="2:23" x14ac:dyDescent="0.2">
      <c r="B22" s="2" t="s">
        <v>31</v>
      </c>
      <c r="G22" s="8">
        <f t="shared" ref="G22" si="35">+G7/C7-1</f>
        <v>-0.16264062558621895</v>
      </c>
      <c r="H22" s="8">
        <f t="shared" ref="H22" si="36">+H7/D7-1</f>
        <v>-2.6890606949257823E-2</v>
      </c>
      <c r="I22" s="8">
        <f t="shared" ref="I22" si="37">+I7/E7-1</f>
        <v>-2.159550438541824E-2</v>
      </c>
      <c r="J22" s="8">
        <f>+J7/F7-1</f>
        <v>8.1669167015075983E-2</v>
      </c>
      <c r="K22" s="8">
        <f>+K7/G7-1</f>
        <v>0.16989477187772017</v>
      </c>
      <c r="N22" s="2"/>
      <c r="O22" s="11">
        <f t="shared" ref="O22:Q22" si="38">+O7/N7-1</f>
        <v>0.3726149657009612</v>
      </c>
      <c r="P22" s="11">
        <f t="shared" si="38"/>
        <v>0.14403461874640788</v>
      </c>
      <c r="Q22" s="11">
        <f>+Q7/P7-1</f>
        <v>-3.6088492791903848E-2</v>
      </c>
    </row>
    <row r="24" spans="2:23" x14ac:dyDescent="0.2">
      <c r="B24" s="1" t="s">
        <v>8</v>
      </c>
      <c r="C24" s="8">
        <f t="shared" ref="C24:D24" si="39">+C9/C3</f>
        <v>0.3444812768569675</v>
      </c>
      <c r="D24" s="8">
        <f t="shared" ref="D24:I24" si="40">+D9/D3</f>
        <v>0.34471241220099214</v>
      </c>
      <c r="E24" s="8">
        <f t="shared" si="40"/>
        <v>0.33657179714585184</v>
      </c>
      <c r="F24" s="8">
        <f t="shared" si="40"/>
        <v>0.35019986117427415</v>
      </c>
      <c r="G24" s="8">
        <f t="shared" si="40"/>
        <v>0.35032040787688856</v>
      </c>
      <c r="H24" s="8">
        <f t="shared" si="40"/>
        <v>0.35069765180611601</v>
      </c>
      <c r="I24" s="8">
        <f>+I9/I3</f>
        <v>0.34175331375505991</v>
      </c>
      <c r="J24" s="8">
        <f>+J9/J3</f>
        <v>0.35125526578518035</v>
      </c>
      <c r="K24" s="8">
        <f>+K9/K3</f>
        <v>0.35033718368164513</v>
      </c>
      <c r="O24" s="8">
        <f t="shared" ref="O24:P24" si="41">+O9/O3</f>
        <v>0.34101229838952535</v>
      </c>
      <c r="P24" s="8">
        <f t="shared" ref="P24:Q24" si="42">+P9/P3</f>
        <v>0.34364766191837248</v>
      </c>
      <c r="Q24" s="8">
        <f t="shared" si="42"/>
        <v>0.34816576280658529</v>
      </c>
    </row>
    <row r="25" spans="2:23" x14ac:dyDescent="0.2">
      <c r="B25" s="1" t="s">
        <v>9</v>
      </c>
      <c r="C25" s="8">
        <f t="shared" ref="C25:D25" si="43">+C10/C4</f>
        <v>0.10087924520395834</v>
      </c>
      <c r="D25" s="8">
        <f t="shared" ref="D25:I25" si="44">+D10/D4</f>
        <v>0.11373397410310858</v>
      </c>
      <c r="E25" s="8">
        <f t="shared" si="44"/>
        <v>0.11431716864194846</v>
      </c>
      <c r="F25" s="8">
        <f t="shared" si="44"/>
        <v>0.11856726996582712</v>
      </c>
      <c r="G25" s="8">
        <f t="shared" si="44"/>
        <v>0.12543612930788947</v>
      </c>
      <c r="H25" s="8">
        <f t="shared" si="44"/>
        <v>0.11966205710807097</v>
      </c>
      <c r="I25" s="8">
        <f>+I10/I4</f>
        <v>0.11620735365938742</v>
      </c>
      <c r="J25" s="8">
        <f>+J10/J4</f>
        <v>9.6803543096901298E-2</v>
      </c>
      <c r="K25" s="8">
        <f>+K10/K4</f>
        <v>0.11348359035191775</v>
      </c>
      <c r="O25" s="8">
        <f t="shared" ref="O25:P25" si="45">+O10/O4</f>
        <v>0.11415524107304295</v>
      </c>
      <c r="P25" s="8">
        <f>+P10/P4</f>
        <v>0.1115209202357505</v>
      </c>
      <c r="Q25" s="8">
        <f>+Q10/Q4</f>
        <v>0.11400500164630992</v>
      </c>
    </row>
    <row r="26" spans="2:23" x14ac:dyDescent="0.2">
      <c r="B26" s="1" t="s">
        <v>32</v>
      </c>
      <c r="C26" s="8">
        <f t="shared" ref="C26:D26" si="46">+C12/C7</f>
        <v>0.1545099342362671</v>
      </c>
      <c r="D26" s="8">
        <f t="shared" ref="D26:I26" si="47">+D12/D7</f>
        <v>0.16944814716075715</v>
      </c>
      <c r="E26" s="8">
        <f t="shared" si="47"/>
        <v>0.1695578680734576</v>
      </c>
      <c r="F26" s="8">
        <f t="shared" si="47"/>
        <v>0.1788322963035833</v>
      </c>
      <c r="G26" s="8">
        <f t="shared" si="47"/>
        <v>0.18807926673152744</v>
      </c>
      <c r="H26" s="8">
        <f t="shared" si="47"/>
        <v>0.17877581336450415</v>
      </c>
      <c r="I26" s="8">
        <f>+I12/I7</f>
        <v>0.17538986851493218</v>
      </c>
      <c r="J26" s="8">
        <f>+J12/J7</f>
        <v>0.15810535051470212</v>
      </c>
      <c r="K26" s="8">
        <f>+K12/K7</f>
        <v>0.17360689372178906</v>
      </c>
      <c r="O26" s="8">
        <f t="shared" ref="O26:P26" si="48">+O12/O7</f>
        <v>0.17520804841275026</v>
      </c>
      <c r="P26" s="8">
        <f t="shared" ref="P26:Q26" si="49">+P12/P7</f>
        <v>0.16772409531748605</v>
      </c>
      <c r="Q26" s="8">
        <f t="shared" si="49"/>
        <v>0.17466486677687382</v>
      </c>
    </row>
    <row r="27" spans="2:23" x14ac:dyDescent="0.2">
      <c r="B27" s="1" t="s">
        <v>33</v>
      </c>
      <c r="C27" s="8">
        <f t="shared" ref="C27:D27" si="50">+C17/C7</f>
        <v>6.3164269979686688E-2</v>
      </c>
      <c r="D27" s="8">
        <f t="shared" ref="D27:I27" si="51">+D17/D7</f>
        <v>6.4794573298972147E-2</v>
      </c>
      <c r="E27" s="8">
        <f t="shared" si="51"/>
        <v>5.1164043061365946E-2</v>
      </c>
      <c r="F27" s="8">
        <f t="shared" si="51"/>
        <v>5.740758958215491E-2</v>
      </c>
      <c r="G27" s="8">
        <f t="shared" si="51"/>
        <v>7.3115622919760342E-2</v>
      </c>
      <c r="H27" s="8">
        <f t="shared" si="51"/>
        <v>6.6871225404247031E-2</v>
      </c>
      <c r="I27" s="8">
        <f>+I17/I7</f>
        <v>4.7258179594332879E-2</v>
      </c>
      <c r="J27" s="8">
        <f>+J17/J7</f>
        <v>3.6503777134834325E-2</v>
      </c>
      <c r="K27" s="8">
        <f>+K17/K7</f>
        <v>6.2262344412529043E-2</v>
      </c>
      <c r="N27" s="2"/>
      <c r="O27" s="11">
        <f t="shared" ref="O27:P27" si="52">+O17/O7</f>
        <v>5.8565608287865466E-2</v>
      </c>
      <c r="P27" s="11">
        <f t="shared" ref="P27:Q27" si="53">+P17/P7</f>
        <v>5.8894995177902691E-2</v>
      </c>
      <c r="Q27" s="11">
        <f t="shared" si="53"/>
        <v>5.5010214615201378E-2</v>
      </c>
    </row>
    <row r="29" spans="2:23" x14ac:dyDescent="0.2">
      <c r="B29" s="1" t="s">
        <v>34</v>
      </c>
      <c r="C29" s="4"/>
      <c r="D29" s="4"/>
      <c r="E29" s="4"/>
      <c r="F29" s="4"/>
      <c r="G29" s="4">
        <v>1389.2</v>
      </c>
      <c r="H29" s="4"/>
      <c r="I29" s="4"/>
      <c r="J29" s="4"/>
      <c r="K29" s="4">
        <v>983.1</v>
      </c>
      <c r="N29" s="4">
        <v>4086.6</v>
      </c>
      <c r="O29" s="4">
        <v>3944.9</v>
      </c>
      <c r="P29" s="4">
        <v>4344.6000000000004</v>
      </c>
      <c r="Q29" s="4">
        <v>4817.2</v>
      </c>
    </row>
    <row r="30" spans="2:23" x14ac:dyDescent="0.2">
      <c r="B30" s="1" t="s">
        <v>35</v>
      </c>
      <c r="C30" s="4"/>
      <c r="D30" s="4"/>
      <c r="E30" s="4"/>
      <c r="F30" s="4"/>
      <c r="G30" s="4">
        <v>294.60000000000002</v>
      </c>
      <c r="H30" s="4"/>
      <c r="I30" s="4"/>
      <c r="J30" s="4"/>
      <c r="K30" s="4">
        <v>400.6</v>
      </c>
      <c r="N30" s="4">
        <v>1222.2</v>
      </c>
      <c r="O30" s="4">
        <v>1664.1</v>
      </c>
      <c r="P30" s="4">
        <v>1803.8</v>
      </c>
      <c r="Q30" s="4">
        <v>1943.1</v>
      </c>
    </row>
    <row r="31" spans="2:23" x14ac:dyDescent="0.2">
      <c r="B31" s="2" t="s">
        <v>36</v>
      </c>
      <c r="C31" s="7"/>
      <c r="D31" s="7"/>
      <c r="E31" s="7"/>
      <c r="F31" s="7"/>
      <c r="G31" s="7">
        <f>+G29-G30</f>
        <v>1094.5999999999999</v>
      </c>
      <c r="H31" s="7"/>
      <c r="I31" s="7"/>
      <c r="J31" s="7"/>
      <c r="K31" s="7">
        <f>+K29-K30</f>
        <v>582.5</v>
      </c>
      <c r="N31" s="7">
        <f t="shared" ref="N31:P31" si="54">+N29-N30</f>
        <v>2864.3999999999996</v>
      </c>
      <c r="O31" s="7">
        <f t="shared" si="54"/>
        <v>2280.8000000000002</v>
      </c>
      <c r="P31" s="7">
        <f t="shared" si="54"/>
        <v>2540.8000000000002</v>
      </c>
      <c r="Q31" s="7">
        <f>+Q29-Q30</f>
        <v>2874.1</v>
      </c>
    </row>
    <row r="33" spans="2:17" x14ac:dyDescent="0.2">
      <c r="B33" s="1" t="s">
        <v>37</v>
      </c>
      <c r="C33" s="4"/>
      <c r="D33" s="4"/>
      <c r="E33" s="4"/>
      <c r="F33" s="4"/>
      <c r="G33" s="4"/>
      <c r="H33" s="4"/>
      <c r="I33" s="4">
        <v>16715</v>
      </c>
      <c r="J33" s="4">
        <v>16740</v>
      </c>
      <c r="N33" s="4">
        <v>14222</v>
      </c>
      <c r="O33" s="4">
        <v>14008</v>
      </c>
      <c r="P33" s="4">
        <v>14468</v>
      </c>
      <c r="Q33" s="4">
        <v>16740</v>
      </c>
    </row>
    <row r="34" spans="2:17" x14ac:dyDescent="0.2">
      <c r="B34" s="1" t="s">
        <v>38</v>
      </c>
      <c r="I34" s="9">
        <f>+(I7*1000000)/(I33)</f>
        <v>1173915.6446305714</v>
      </c>
      <c r="J34" s="9">
        <f>+(J7*1000000)/(J33)</f>
        <v>1050937.8733572282</v>
      </c>
      <c r="N34" s="12">
        <f>+(N7*1000000)/(N33)</f>
        <v>3217501.0547039798</v>
      </c>
      <c r="O34" s="12">
        <f>+(O7*1000000)/(O33)</f>
        <v>4483859.2233009702</v>
      </c>
      <c r="P34" s="12">
        <f>+(P7*1000000)/(P33)</f>
        <v>4966595.2446779096</v>
      </c>
      <c r="Q34" s="12">
        <f>+(Q7*1000000)/(Q33)</f>
        <v>4137604.540023895</v>
      </c>
    </row>
    <row r="36" spans="2:17" x14ac:dyDescent="0.2">
      <c r="B36" s="1" t="s">
        <v>39</v>
      </c>
      <c r="N36" s="4">
        <v>433.5</v>
      </c>
      <c r="O36" s="4">
        <v>323.39999999999998</v>
      </c>
      <c r="P36" s="4">
        <v>847.9</v>
      </c>
      <c r="Q36" s="4">
        <v>4297.2</v>
      </c>
    </row>
    <row r="37" spans="2:17" x14ac:dyDescent="0.2">
      <c r="B37" s="1" t="s">
        <v>41</v>
      </c>
      <c r="K37" s="4"/>
      <c r="N37" s="4">
        <v>1046.7</v>
      </c>
      <c r="O37" s="4">
        <v>1842.3</v>
      </c>
      <c r="P37" s="4">
        <v>2392.5</v>
      </c>
      <c r="Q37" s="4">
        <v>1349.4</v>
      </c>
    </row>
    <row r="38" spans="2:17" x14ac:dyDescent="0.2">
      <c r="B38" s="1" t="s">
        <v>42</v>
      </c>
      <c r="N38" s="4">
        <v>268.3</v>
      </c>
      <c r="O38" s="4">
        <v>330.1</v>
      </c>
      <c r="P38" s="4">
        <v>377.7</v>
      </c>
      <c r="Q38" s="4">
        <v>453</v>
      </c>
    </row>
    <row r="39" spans="2:17" x14ac:dyDescent="0.2">
      <c r="B39" s="1" t="s">
        <v>43</v>
      </c>
      <c r="N39" s="11">
        <f t="shared" ref="N39:P39" si="55">+(N37+N38)/N31</f>
        <v>0.45908392682586235</v>
      </c>
      <c r="O39" s="11">
        <f t="shared" si="55"/>
        <v>0.95247281655559446</v>
      </c>
      <c r="P39" s="11">
        <f t="shared" si="55"/>
        <v>1.0902865239294708</v>
      </c>
      <c r="Q39" s="11">
        <f>+(Q37+Q38)/Q31</f>
        <v>0.62711805434744794</v>
      </c>
    </row>
  </sheetData>
  <hyperlinks>
    <hyperlink ref="A1" location="main!A1" display="main" xr:uid="{4F09DABB-09EA-4741-8F1E-C2AEAA46C324}"/>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Duarte Morais</dc:creator>
  <cp:lastModifiedBy>Alexandre Duarte Morais</cp:lastModifiedBy>
  <dcterms:created xsi:type="dcterms:W3CDTF">2024-10-19T11:23:48Z</dcterms:created>
  <dcterms:modified xsi:type="dcterms:W3CDTF">2024-10-19T15:11:22Z</dcterms:modified>
</cp:coreProperties>
</file>