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hdisegutl-my.sharepoint.com/personal/l59357_aln_iseg_ulisboa_pt/Documents/Models/"/>
    </mc:Choice>
  </mc:AlternateContent>
  <xr:revisionPtr revIDLastSave="279" documentId="8_{131F017A-6341-498C-BEB1-BA30915B45B1}" xr6:coauthVersionLast="47" xr6:coauthVersionMax="47" xr10:uidLastSave="{67A2FFCB-F467-498F-8FDA-75CB93AB8916}"/>
  <bookViews>
    <workbookView xWindow="-120" yWindow="-120" windowWidth="29040" windowHeight="15720" activeTab="1" xr2:uid="{75BF1842-1831-40B0-9F47-190CF3DA6AE4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62" i="2" l="1"/>
  <c r="N62" i="2"/>
  <c r="O61" i="2"/>
  <c r="N61" i="2"/>
  <c r="O60" i="2"/>
  <c r="N60" i="2"/>
  <c r="O59" i="2"/>
  <c r="N59" i="2"/>
  <c r="O58" i="2"/>
  <c r="N58" i="2"/>
  <c r="O57" i="2"/>
  <c r="N57" i="2"/>
  <c r="O56" i="2"/>
  <c r="N56" i="2"/>
  <c r="P56" i="2"/>
  <c r="B6" i="1"/>
  <c r="B5" i="1"/>
  <c r="F44" i="2"/>
  <c r="F45" i="2"/>
  <c r="I44" i="2"/>
  <c r="H44" i="2"/>
  <c r="G44" i="2"/>
  <c r="E44" i="2"/>
  <c r="D44" i="2"/>
  <c r="C44" i="2"/>
  <c r="J44" i="2"/>
  <c r="J45" i="2" s="1"/>
  <c r="J33" i="2"/>
  <c r="J30" i="2"/>
  <c r="J42" i="2"/>
  <c r="J18" i="2"/>
  <c r="J28" i="2" s="1"/>
  <c r="J11" i="2"/>
  <c r="J10" i="2"/>
  <c r="J62" i="2" s="1"/>
  <c r="Z7" i="2"/>
  <c r="R9" i="2"/>
  <c r="S9" i="2" s="1"/>
  <c r="T9" i="2" s="1"/>
  <c r="U9" i="2" s="1"/>
  <c r="V9" i="2" s="1"/>
  <c r="W9" i="2" s="1"/>
  <c r="N10" i="2"/>
  <c r="N12" i="2" s="1"/>
  <c r="N14" i="2" s="1"/>
  <c r="N19" i="2" s="1"/>
  <c r="N29" i="2" s="1"/>
  <c r="N32" i="2" s="1"/>
  <c r="O18" i="2"/>
  <c r="O28" i="2"/>
  <c r="O10" i="2"/>
  <c r="O12" i="2" s="1"/>
  <c r="O14" i="2" s="1"/>
  <c r="P33" i="2"/>
  <c r="P31" i="2"/>
  <c r="Q31" i="2" s="1"/>
  <c r="R31" i="2" s="1"/>
  <c r="S31" i="2" s="1"/>
  <c r="T31" i="2" s="1"/>
  <c r="U31" i="2" s="1"/>
  <c r="V31" i="2" s="1"/>
  <c r="W31" i="2" s="1"/>
  <c r="P27" i="2"/>
  <c r="P26" i="2"/>
  <c r="P25" i="2"/>
  <c r="P24" i="2"/>
  <c r="P23" i="2"/>
  <c r="P22" i="2"/>
  <c r="P21" i="2"/>
  <c r="P20" i="2"/>
  <c r="P17" i="2"/>
  <c r="Q17" i="2" s="1"/>
  <c r="R17" i="2" s="1"/>
  <c r="S17" i="2" s="1"/>
  <c r="T17" i="2" s="1"/>
  <c r="U17" i="2" s="1"/>
  <c r="V17" i="2" s="1"/>
  <c r="W17" i="2" s="1"/>
  <c r="P16" i="2"/>
  <c r="Q16" i="2" s="1"/>
  <c r="R16" i="2" s="1"/>
  <c r="S16" i="2" s="1"/>
  <c r="T16" i="2" s="1"/>
  <c r="U16" i="2" s="1"/>
  <c r="V16" i="2" s="1"/>
  <c r="W16" i="2" s="1"/>
  <c r="P15" i="2"/>
  <c r="Q15" i="2" s="1"/>
  <c r="R15" i="2" s="1"/>
  <c r="S15" i="2" s="1"/>
  <c r="T15" i="2" s="1"/>
  <c r="U15" i="2" s="1"/>
  <c r="V15" i="2" s="1"/>
  <c r="W15" i="2" s="1"/>
  <c r="P13" i="2"/>
  <c r="Q13" i="2" s="1"/>
  <c r="R13" i="2" s="1"/>
  <c r="S13" i="2" s="1"/>
  <c r="T13" i="2" s="1"/>
  <c r="U13" i="2" s="1"/>
  <c r="V13" i="2" s="1"/>
  <c r="W13" i="2" s="1"/>
  <c r="P9" i="2"/>
  <c r="P8" i="2"/>
  <c r="P7" i="2"/>
  <c r="Q7" i="2" s="1"/>
  <c r="R7" i="2" s="1"/>
  <c r="S7" i="2" s="1"/>
  <c r="T7" i="2" s="1"/>
  <c r="U7" i="2" s="1"/>
  <c r="V7" i="2" s="1"/>
  <c r="W7" i="2" s="1"/>
  <c r="P6" i="2"/>
  <c r="Q6" i="2" s="1"/>
  <c r="R6" i="2" s="1"/>
  <c r="S6" i="2" s="1"/>
  <c r="T6" i="2" s="1"/>
  <c r="U6" i="2" s="1"/>
  <c r="V6" i="2" s="1"/>
  <c r="W6" i="2" s="1"/>
  <c r="P5" i="2"/>
  <c r="Q5" i="2" s="1"/>
  <c r="R5" i="2" s="1"/>
  <c r="S5" i="2" s="1"/>
  <c r="T5" i="2" s="1"/>
  <c r="U5" i="2" s="1"/>
  <c r="V5" i="2" s="1"/>
  <c r="W5" i="2" s="1"/>
  <c r="P4" i="2"/>
  <c r="P3" i="2"/>
  <c r="Q3" i="2" s="1"/>
  <c r="R3" i="2" s="1"/>
  <c r="S3" i="2" s="1"/>
  <c r="F35" i="2"/>
  <c r="P35" i="2" s="1"/>
  <c r="F30" i="2"/>
  <c r="P30" i="2" s="1"/>
  <c r="F28" i="2"/>
  <c r="P28" i="2" s="1"/>
  <c r="F18" i="2"/>
  <c r="P18" i="2" s="1"/>
  <c r="Q18" i="2" s="1"/>
  <c r="R18" i="2" s="1"/>
  <c r="S18" i="2" s="1"/>
  <c r="T18" i="2" s="1"/>
  <c r="U18" i="2" s="1"/>
  <c r="V18" i="2" s="1"/>
  <c r="W18" i="2" s="1"/>
  <c r="H45" i="2"/>
  <c r="G45" i="2"/>
  <c r="E45" i="2"/>
  <c r="D45" i="2"/>
  <c r="C45" i="2"/>
  <c r="I45" i="2"/>
  <c r="C10" i="2"/>
  <c r="C12" i="2" s="1"/>
  <c r="C14" i="2" s="1"/>
  <c r="C19" i="2" s="1"/>
  <c r="C29" i="2" s="1"/>
  <c r="C32" i="2" s="1"/>
  <c r="C34" i="2" s="1"/>
  <c r="C36" i="2" s="1"/>
  <c r="C37" i="2" s="1"/>
  <c r="H18" i="2"/>
  <c r="H28" i="2"/>
  <c r="D11" i="2"/>
  <c r="H11" i="2"/>
  <c r="H10" i="2"/>
  <c r="H62" i="2" s="1"/>
  <c r="G10" i="2"/>
  <c r="G61" i="2" s="1"/>
  <c r="F10" i="2"/>
  <c r="F60" i="2" s="1"/>
  <c r="E10" i="2"/>
  <c r="E59" i="2" s="1"/>
  <c r="D10" i="2"/>
  <c r="D59" i="2" s="1"/>
  <c r="H42" i="2"/>
  <c r="G42" i="2"/>
  <c r="F42" i="2"/>
  <c r="E42" i="2"/>
  <c r="D42" i="2"/>
  <c r="I42" i="2"/>
  <c r="C52" i="2" l="1"/>
  <c r="F59" i="2"/>
  <c r="P64" i="2"/>
  <c r="Q30" i="2" s="1"/>
  <c r="Q64" i="2" s="1"/>
  <c r="R30" i="2" s="1"/>
  <c r="D62" i="2"/>
  <c r="F56" i="2"/>
  <c r="K43" i="2"/>
  <c r="C39" i="2"/>
  <c r="C57" i="2"/>
  <c r="J56" i="2"/>
  <c r="C49" i="2"/>
  <c r="E62" i="2"/>
  <c r="C50" i="2"/>
  <c r="D57" i="2"/>
  <c r="G59" i="2"/>
  <c r="G62" i="2"/>
  <c r="J57" i="2"/>
  <c r="J58" i="2"/>
  <c r="E57" i="2"/>
  <c r="C60" i="2"/>
  <c r="D58" i="2"/>
  <c r="P10" i="2"/>
  <c r="P60" i="2" s="1"/>
  <c r="F57" i="2"/>
  <c r="E60" i="2"/>
  <c r="O19" i="2"/>
  <c r="O29" i="2" s="1"/>
  <c r="O32" i="2" s="1"/>
  <c r="O34" i="2" s="1"/>
  <c r="J59" i="2"/>
  <c r="G58" i="2"/>
  <c r="C56" i="2"/>
  <c r="G57" i="2"/>
  <c r="G60" i="2"/>
  <c r="J60" i="2"/>
  <c r="D56" i="2"/>
  <c r="E58" i="2"/>
  <c r="C61" i="2"/>
  <c r="J61" i="2"/>
  <c r="E56" i="2"/>
  <c r="F58" i="2"/>
  <c r="C62" i="2"/>
  <c r="O48" i="2"/>
  <c r="J12" i="2"/>
  <c r="J52" i="2" s="1"/>
  <c r="N51" i="2"/>
  <c r="N34" i="2"/>
  <c r="H61" i="2"/>
  <c r="H60" i="2"/>
  <c r="H59" i="2"/>
  <c r="Q8" i="2"/>
  <c r="R8" i="2" s="1"/>
  <c r="S8" i="2" s="1"/>
  <c r="T8" i="2" s="1"/>
  <c r="U8" i="2" s="1"/>
  <c r="V8" i="2" s="1"/>
  <c r="W8" i="2" s="1"/>
  <c r="G56" i="2"/>
  <c r="H57" i="2"/>
  <c r="C59" i="2"/>
  <c r="D60" i="2"/>
  <c r="E61" i="2"/>
  <c r="F62" i="2"/>
  <c r="Q4" i="2"/>
  <c r="R4" i="2" s="1"/>
  <c r="S4" i="2" s="1"/>
  <c r="T4" i="2" s="1"/>
  <c r="U4" i="2" s="1"/>
  <c r="V4" i="2" s="1"/>
  <c r="W4" i="2" s="1"/>
  <c r="H58" i="2"/>
  <c r="D61" i="2"/>
  <c r="H56" i="2"/>
  <c r="F61" i="2"/>
  <c r="C58" i="2"/>
  <c r="T3" i="2"/>
  <c r="B29" i="2"/>
  <c r="H12" i="2"/>
  <c r="H52" i="2" s="1"/>
  <c r="G12" i="2"/>
  <c r="G52" i="2" s="1"/>
  <c r="F12" i="2"/>
  <c r="D12" i="2"/>
  <c r="D52" i="2" s="1"/>
  <c r="E11" i="2"/>
  <c r="P11" i="2" s="1"/>
  <c r="Q11" i="2" s="1"/>
  <c r="R11" i="2" s="1"/>
  <c r="S11" i="2" s="1"/>
  <c r="T11" i="2" s="1"/>
  <c r="U11" i="2" s="1"/>
  <c r="V11" i="2" s="1"/>
  <c r="W11" i="2" s="1"/>
  <c r="I11" i="2"/>
  <c r="I10" i="2"/>
  <c r="Q2" i="2"/>
  <c r="R2" i="2" s="1"/>
  <c r="S2" i="2" s="1"/>
  <c r="T2" i="2" s="1"/>
  <c r="U2" i="2" s="1"/>
  <c r="V2" i="2" s="1"/>
  <c r="W2" i="2" s="1"/>
  <c r="B2" i="1" a="1"/>
  <c r="B2" i="1" s="1"/>
  <c r="B4" i="1" s="1"/>
  <c r="B7" i="1" s="1"/>
  <c r="F14" i="2" l="1"/>
  <c r="F49" i="2" s="1"/>
  <c r="F52" i="2"/>
  <c r="O51" i="2"/>
  <c r="Q10" i="2"/>
  <c r="Q12" i="2" s="1"/>
  <c r="Q14" i="2" s="1"/>
  <c r="P61" i="2"/>
  <c r="P59" i="2"/>
  <c r="P58" i="2"/>
  <c r="G14" i="2"/>
  <c r="G19" i="2" s="1"/>
  <c r="G29" i="2" s="1"/>
  <c r="G48" i="2"/>
  <c r="H14" i="2"/>
  <c r="H49" i="2" s="1"/>
  <c r="H48" i="2"/>
  <c r="J14" i="2"/>
  <c r="J48" i="2"/>
  <c r="P62" i="2"/>
  <c r="P57" i="2"/>
  <c r="R10" i="2"/>
  <c r="R12" i="2" s="1"/>
  <c r="S10" i="2"/>
  <c r="S12" i="2" s="1"/>
  <c r="S14" i="2" s="1"/>
  <c r="D14" i="2"/>
  <c r="U3" i="2"/>
  <c r="V3" i="2" s="1"/>
  <c r="W3" i="2" s="1"/>
  <c r="I56" i="2"/>
  <c r="I57" i="2"/>
  <c r="I58" i="2"/>
  <c r="I59" i="2"/>
  <c r="I61" i="2"/>
  <c r="I62" i="2"/>
  <c r="I60" i="2"/>
  <c r="R64" i="2"/>
  <c r="S30" i="2" s="1"/>
  <c r="R14" i="2"/>
  <c r="T10" i="2"/>
  <c r="T12" i="2" s="1"/>
  <c r="F19" i="2"/>
  <c r="F29" i="2" s="1"/>
  <c r="E12" i="2"/>
  <c r="I12" i="2"/>
  <c r="I52" i="2" s="1"/>
  <c r="E14" i="2" l="1"/>
  <c r="E52" i="2"/>
  <c r="G49" i="2"/>
  <c r="J19" i="2"/>
  <c r="J29" i="2" s="1"/>
  <c r="J49" i="2"/>
  <c r="I14" i="2"/>
  <c r="I19" i="2" s="1"/>
  <c r="I29" i="2" s="1"/>
  <c r="I48" i="2"/>
  <c r="H19" i="2"/>
  <c r="H29" i="2" s="1"/>
  <c r="H32" i="2" s="1"/>
  <c r="H34" i="2" s="1"/>
  <c r="H36" i="2" s="1"/>
  <c r="P12" i="2"/>
  <c r="P48" i="2" s="1"/>
  <c r="R48" i="2"/>
  <c r="S48" i="2"/>
  <c r="W10" i="2"/>
  <c r="W12" i="2" s="1"/>
  <c r="W14" i="2" s="1"/>
  <c r="V10" i="2"/>
  <c r="V12" i="2" s="1"/>
  <c r="V14" i="2" s="1"/>
  <c r="U10" i="2"/>
  <c r="U12" i="2" s="1"/>
  <c r="V48" i="2" s="1"/>
  <c r="G32" i="2"/>
  <c r="G34" i="2" s="1"/>
  <c r="G36" i="2" s="1"/>
  <c r="G50" i="2"/>
  <c r="E19" i="2"/>
  <c r="E29" i="2" s="1"/>
  <c r="E49" i="2"/>
  <c r="D19" i="2"/>
  <c r="P14" i="2"/>
  <c r="D49" i="2"/>
  <c r="F32" i="2"/>
  <c r="F50" i="2"/>
  <c r="R19" i="2"/>
  <c r="R29" i="2" s="1"/>
  <c r="R49" i="2"/>
  <c r="Q19" i="2"/>
  <c r="Q29" i="2" s="1"/>
  <c r="Q49" i="2"/>
  <c r="S19" i="2"/>
  <c r="S29" i="2" s="1"/>
  <c r="S50" i="2" s="1"/>
  <c r="S49" i="2"/>
  <c r="T14" i="2"/>
  <c r="T48" i="2"/>
  <c r="S64" i="2"/>
  <c r="C42" i="2"/>
  <c r="H50" i="2" l="1"/>
  <c r="H39" i="2"/>
  <c r="H37" i="2"/>
  <c r="Q48" i="2"/>
  <c r="I49" i="2"/>
  <c r="G39" i="2"/>
  <c r="G37" i="2"/>
  <c r="J32" i="2"/>
  <c r="J34" i="2" s="1"/>
  <c r="J36" i="2" s="1"/>
  <c r="J50" i="2"/>
  <c r="S32" i="2"/>
  <c r="S33" i="2" s="1"/>
  <c r="S34" i="2" s="1"/>
  <c r="S36" i="2" s="1"/>
  <c r="S37" i="2" s="1"/>
  <c r="U48" i="2"/>
  <c r="U14" i="2"/>
  <c r="U49" i="2" s="1"/>
  <c r="Q32" i="2"/>
  <c r="Q33" i="2" s="1"/>
  <c r="Q34" i="2" s="1"/>
  <c r="Q36" i="2" s="1"/>
  <c r="Q37" i="2" s="1"/>
  <c r="Q50" i="2"/>
  <c r="R32" i="2"/>
  <c r="R50" i="2"/>
  <c r="I32" i="2"/>
  <c r="I34" i="2" s="1"/>
  <c r="I36" i="2" s="1"/>
  <c r="I50" i="2"/>
  <c r="T19" i="2"/>
  <c r="T29" i="2" s="1"/>
  <c r="T50" i="2" s="1"/>
  <c r="T49" i="2"/>
  <c r="W19" i="2"/>
  <c r="W29" i="2" s="1"/>
  <c r="W50" i="2" s="1"/>
  <c r="W49" i="2"/>
  <c r="E32" i="2"/>
  <c r="E34" i="2" s="1"/>
  <c r="E36" i="2" s="1"/>
  <c r="E50" i="2"/>
  <c r="W48" i="2"/>
  <c r="F34" i="2"/>
  <c r="F36" i="2" s="1"/>
  <c r="V19" i="2"/>
  <c r="V29" i="2" s="1"/>
  <c r="V50" i="2" s="1"/>
  <c r="V49" i="2"/>
  <c r="D29" i="2"/>
  <c r="P19" i="2"/>
  <c r="T30" i="2"/>
  <c r="J39" i="2" l="1"/>
  <c r="J37" i="2"/>
  <c r="E39" i="2"/>
  <c r="E37" i="2"/>
  <c r="F39" i="2"/>
  <c r="F37" i="2"/>
  <c r="I39" i="2"/>
  <c r="I37" i="2"/>
  <c r="U19" i="2"/>
  <c r="U29" i="2" s="1"/>
  <c r="U50" i="2" s="1"/>
  <c r="T32" i="2"/>
  <c r="T33" i="2" s="1"/>
  <c r="T34" i="2" s="1"/>
  <c r="T36" i="2" s="1"/>
  <c r="T37" i="2" s="1"/>
  <c r="R33" i="2"/>
  <c r="R34" i="2" s="1"/>
  <c r="R36" i="2" s="1"/>
  <c r="R37" i="2" s="1"/>
  <c r="D32" i="2"/>
  <c r="D50" i="2"/>
  <c r="P29" i="2"/>
  <c r="T64" i="2"/>
  <c r="D34" i="2" l="1"/>
  <c r="P32" i="2"/>
  <c r="P51" i="2" s="1"/>
  <c r="U30" i="2"/>
  <c r="U32" i="2" s="1"/>
  <c r="D36" i="2" l="1"/>
  <c r="D37" i="2" s="1"/>
  <c r="P34" i="2"/>
  <c r="U33" i="2"/>
  <c r="U34" i="2" s="1"/>
  <c r="U36" i="2" s="1"/>
  <c r="U37" i="2" s="1"/>
  <c r="U64" i="2"/>
  <c r="P36" i="2" l="1"/>
  <c r="P37" i="2" s="1"/>
  <c r="D39" i="2"/>
  <c r="V30" i="2"/>
  <c r="V32" i="2" s="1"/>
  <c r="V33" i="2" l="1"/>
  <c r="V34" i="2" s="1"/>
  <c r="V36" i="2" s="1"/>
  <c r="V37" i="2" s="1"/>
  <c r="V64" i="2"/>
  <c r="W30" i="2" s="1"/>
  <c r="W32" i="2" s="1"/>
  <c r="W33" i="2" l="1"/>
  <c r="W34" i="2" s="1"/>
  <c r="W64" i="2"/>
  <c r="X34" i="2" l="1"/>
  <c r="W36" i="2"/>
  <c r="W37" i="2" s="1"/>
  <c r="Y34" i="2" l="1"/>
  <c r="X36" i="2"/>
  <c r="Z34" i="2" l="1"/>
  <c r="AA34" i="2" s="1"/>
  <c r="AB34" i="2" s="1"/>
  <c r="AC34" i="2" s="1"/>
  <c r="AD34" i="2" s="1"/>
  <c r="AE34" i="2" s="1"/>
  <c r="AF34" i="2" s="1"/>
  <c r="AG34" i="2" s="1"/>
  <c r="AH34" i="2" s="1"/>
  <c r="AI34" i="2" s="1"/>
  <c r="AJ34" i="2" s="1"/>
  <c r="AK34" i="2" s="1"/>
  <c r="AL34" i="2" s="1"/>
  <c r="AM34" i="2" s="1"/>
  <c r="AN34" i="2" s="1"/>
  <c r="AO34" i="2" s="1"/>
  <c r="AP34" i="2" s="1"/>
  <c r="AQ34" i="2" s="1"/>
  <c r="AR34" i="2" s="1"/>
  <c r="AS34" i="2" s="1"/>
  <c r="AT34" i="2" s="1"/>
  <c r="AU34" i="2" s="1"/>
  <c r="AV34" i="2" s="1"/>
  <c r="AW34" i="2" s="1"/>
  <c r="AX34" i="2" s="1"/>
  <c r="AY34" i="2" s="1"/>
  <c r="AZ34" i="2" s="1"/>
  <c r="BA34" i="2" s="1"/>
  <c r="BB34" i="2" s="1"/>
  <c r="BC34" i="2" s="1"/>
  <c r="BD34" i="2" s="1"/>
  <c r="BE34" i="2" s="1"/>
  <c r="BF34" i="2" s="1"/>
  <c r="BG34" i="2" s="1"/>
  <c r="BH34" i="2" s="1"/>
  <c r="BI34" i="2" s="1"/>
  <c r="BJ34" i="2" s="1"/>
  <c r="BK34" i="2" s="1"/>
  <c r="BL34" i="2" s="1"/>
  <c r="BM34" i="2" s="1"/>
  <c r="BN34" i="2" s="1"/>
  <c r="BO34" i="2" s="1"/>
  <c r="BP34" i="2" s="1"/>
  <c r="BQ34" i="2" s="1"/>
  <c r="BR34" i="2" s="1"/>
  <c r="BS34" i="2" s="1"/>
  <c r="BT34" i="2" s="1"/>
  <c r="BU34" i="2" s="1"/>
  <c r="BV34" i="2" s="1"/>
  <c r="BW34" i="2" s="1"/>
  <c r="BX34" i="2" s="1"/>
  <c r="BY34" i="2" s="1"/>
  <c r="BZ34" i="2" s="1"/>
  <c r="CA34" i="2" s="1"/>
  <c r="CB34" i="2" s="1"/>
  <c r="CC34" i="2" s="1"/>
  <c r="CD34" i="2" s="1"/>
  <c r="CE34" i="2" s="1"/>
  <c r="CF34" i="2" s="1"/>
  <c r="CG34" i="2" s="1"/>
  <c r="CH34" i="2" s="1"/>
  <c r="CI34" i="2" s="1"/>
  <c r="CJ34" i="2" s="1"/>
  <c r="CK34" i="2" s="1"/>
  <c r="CL34" i="2" s="1"/>
  <c r="CM34" i="2" s="1"/>
  <c r="CN34" i="2" s="1"/>
  <c r="CO34" i="2" s="1"/>
  <c r="CP34" i="2" s="1"/>
  <c r="CQ34" i="2" s="1"/>
  <c r="CR34" i="2" s="1"/>
  <c r="CS34" i="2" s="1"/>
  <c r="CT34" i="2" s="1"/>
  <c r="CU34" i="2" s="1"/>
  <c r="CV34" i="2" s="1"/>
  <c r="CW34" i="2" s="1"/>
  <c r="CX34" i="2" s="1"/>
  <c r="CY34" i="2" s="1"/>
  <c r="CZ34" i="2" s="1"/>
  <c r="DA34" i="2" s="1"/>
  <c r="DB34" i="2" s="1"/>
  <c r="DC34" i="2" s="1"/>
  <c r="DD34" i="2" s="1"/>
  <c r="DE34" i="2" s="1"/>
  <c r="DF34" i="2" s="1"/>
  <c r="DG34" i="2" s="1"/>
  <c r="DH34" i="2" s="1"/>
  <c r="DI34" i="2" s="1"/>
  <c r="DJ34" i="2" s="1"/>
  <c r="DK34" i="2" s="1"/>
  <c r="DL34" i="2" s="1"/>
  <c r="DM34" i="2" s="1"/>
  <c r="DN34" i="2" s="1"/>
  <c r="DO34" i="2" s="1"/>
  <c r="DP34" i="2" s="1"/>
  <c r="DQ34" i="2" s="1"/>
  <c r="DR34" i="2" s="1"/>
  <c r="DS34" i="2" s="1"/>
  <c r="DT34" i="2" s="1"/>
  <c r="Z6" i="2" s="1"/>
  <c r="Z8" i="2" s="1"/>
  <c r="Z9" i="2" s="1"/>
  <c r="Z10" i="2" s="1"/>
  <c r="Z11" i="2" s="1"/>
  <c r="Y36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<sst xmlns="http://schemas.openxmlformats.org/spreadsheetml/2006/main" count="87" uniqueCount="71">
  <si>
    <t>ticket</t>
  </si>
  <si>
    <t>price</t>
  </si>
  <si>
    <t>shares</t>
  </si>
  <si>
    <t>mc</t>
  </si>
  <si>
    <t>cash</t>
  </si>
  <si>
    <t>debt</t>
  </si>
  <si>
    <t>ev</t>
  </si>
  <si>
    <t>main</t>
  </si>
  <si>
    <t>31/09/2023</t>
  </si>
  <si>
    <t>Taobao and Tmall Group</t>
  </si>
  <si>
    <t xml:space="preserve">Alibaba International </t>
  </si>
  <si>
    <t>Local Service Group</t>
  </si>
  <si>
    <t>Cainiao Smart Logistics</t>
  </si>
  <si>
    <t>Cloud Intelligence</t>
  </si>
  <si>
    <t>Digital Media &amp; Entertainment</t>
  </si>
  <si>
    <t>Others</t>
  </si>
  <si>
    <t>Total Revenue</t>
  </si>
  <si>
    <t>Unallocated &amp; eliminated</t>
  </si>
  <si>
    <t>Consolidated Revenue</t>
  </si>
  <si>
    <t>Operating Income</t>
  </si>
  <si>
    <t>Stock based Compensation</t>
  </si>
  <si>
    <t>Income Statement ( millions RMB)</t>
  </si>
  <si>
    <t>Cost of Revenue</t>
  </si>
  <si>
    <t>Gross Profit</t>
  </si>
  <si>
    <t>R&amp;D</t>
  </si>
  <si>
    <t>S&amp;M</t>
  </si>
  <si>
    <t>G&amp;A</t>
  </si>
  <si>
    <t>D&amp;A</t>
  </si>
  <si>
    <t>employees</t>
  </si>
  <si>
    <t>Interest &amp; Investment Income</t>
  </si>
  <si>
    <t>Other Income</t>
  </si>
  <si>
    <t>Pretax Income</t>
  </si>
  <si>
    <t>Taxes</t>
  </si>
  <si>
    <t>Net Income</t>
  </si>
  <si>
    <t>Shares</t>
  </si>
  <si>
    <t>EPS</t>
  </si>
  <si>
    <t>Non-Controlling</t>
  </si>
  <si>
    <t>Net Income to shareholders</t>
  </si>
  <si>
    <t>CFFO</t>
  </si>
  <si>
    <t>CAPEX</t>
  </si>
  <si>
    <t>FCF</t>
  </si>
  <si>
    <t>FX USD/RMB</t>
  </si>
  <si>
    <t>Amortization of intangibles &amp; Goodwill</t>
  </si>
  <si>
    <t>31/09/2022</t>
  </si>
  <si>
    <t>FCF USD</t>
  </si>
  <si>
    <t>31/06/2022</t>
  </si>
  <si>
    <t>31/06/2023</t>
  </si>
  <si>
    <t>Revenue Y/Y</t>
  </si>
  <si>
    <t>Gross Margin %</t>
  </si>
  <si>
    <t>Operating Margin%</t>
  </si>
  <si>
    <t>% Revenue:</t>
  </si>
  <si>
    <t>net cash</t>
  </si>
  <si>
    <t>NPV</t>
  </si>
  <si>
    <t xml:space="preserve">Discount </t>
  </si>
  <si>
    <t>Maturity</t>
  </si>
  <si>
    <t>ROIC</t>
  </si>
  <si>
    <t>Net cash</t>
  </si>
  <si>
    <t>Tax Rate %</t>
  </si>
  <si>
    <t>ev USD</t>
  </si>
  <si>
    <t>Net Income USD</t>
  </si>
  <si>
    <t>FCF -SBC</t>
  </si>
  <si>
    <t>SBC % revenue</t>
  </si>
  <si>
    <t>Q4 2022</t>
  </si>
  <si>
    <t>Q1 2023</t>
  </si>
  <si>
    <t>Q2 2023</t>
  </si>
  <si>
    <t>Q3 2023</t>
  </si>
  <si>
    <t>Q4 2023</t>
  </si>
  <si>
    <t>Q1 2024</t>
  </si>
  <si>
    <t>Q2 2024</t>
  </si>
  <si>
    <t>Q3 2024</t>
  </si>
  <si>
    <t>Q4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</si>
</sst>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[$$-409]* #,##0.00_);_([$$-409]* \(#,##0.00\);_([$$-409]* &quot;-&quot;??_);_(@_)"/>
    <numFmt numFmtId="165" formatCode="_-[$$-409]* #,##0.00_ ;_-[$$-409]* \-#,##0.00\ ;_-[$$-409]* &quot;-&quot;??_ ;_-@_ "/>
    <numFmt numFmtId="166" formatCode="[$¥-804]#,##0.00"/>
    <numFmt numFmtId="167" formatCode="0.0%"/>
    <numFmt numFmtId="168" formatCode="[$$-409]#,##0.00"/>
    <numFmt numFmtId="169" formatCode="[$$-409]#,##0.00_ ;[Red]\-[$$-409]#,##0.00\ "/>
    <numFmt numFmtId="170" formatCode="_-[$$-409]* #,##0_ ;_-[$$-409]* \-#,##0\ ;_-[$$-409]* &quot;-&quot;??_ ;_-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2" applyFont="1"/>
    <xf numFmtId="14" fontId="3" fillId="0" borderId="0" xfId="2" applyNumberFormat="1" applyFont="1"/>
    <xf numFmtId="0" fontId="4" fillId="0" borderId="0" xfId="0" applyFont="1"/>
    <xf numFmtId="14" fontId="4" fillId="0" borderId="0" xfId="0" applyNumberFormat="1" applyFont="1"/>
    <xf numFmtId="0" fontId="5" fillId="0" borderId="0" xfId="0" applyFont="1"/>
    <xf numFmtId="3" fontId="4" fillId="0" borderId="0" xfId="0" applyNumberFormat="1" applyFont="1"/>
    <xf numFmtId="9" fontId="4" fillId="0" borderId="0" xfId="0" applyNumberFormat="1" applyFont="1"/>
    <xf numFmtId="10" fontId="4" fillId="0" borderId="0" xfId="0" applyNumberFormat="1" applyFont="1"/>
    <xf numFmtId="168" fontId="4" fillId="0" borderId="0" xfId="0" applyNumberFormat="1" applyFont="1"/>
    <xf numFmtId="169" fontId="4" fillId="0" borderId="0" xfId="0" applyNumberFormat="1" applyFont="1"/>
    <xf numFmtId="3" fontId="5" fillId="0" borderId="0" xfId="0" applyNumberFormat="1" applyFont="1"/>
    <xf numFmtId="166" fontId="4" fillId="0" borderId="0" xfId="0" applyNumberFormat="1" applyFont="1"/>
    <xf numFmtId="165" fontId="4" fillId="0" borderId="0" xfId="0" applyNumberFormat="1" applyFont="1"/>
    <xf numFmtId="10" fontId="4" fillId="0" borderId="0" xfId="1" applyNumberFormat="1" applyFont="1"/>
    <xf numFmtId="167" fontId="4" fillId="0" borderId="0" xfId="1" applyNumberFormat="1" applyFont="1"/>
    <xf numFmtId="164" fontId="4" fillId="0" borderId="0" xfId="0" applyNumberFormat="1" applyFont="1"/>
    <xf numFmtId="170" fontId="4" fillId="0" borderId="0" xfId="0" applyNumberFormat="1" applyFo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2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8466</xdr:colOff>
      <xdr:row>0</xdr:row>
      <xdr:rowOff>35560</xdr:rowOff>
    </xdr:from>
    <xdr:to>
      <xdr:col>10</xdr:col>
      <xdr:colOff>16086</xdr:colOff>
      <xdr:row>64</xdr:row>
      <xdr:rowOff>88900</xdr:rowOff>
    </xdr:to>
    <xdr:cxnSp macro="">
      <xdr:nvCxnSpPr>
        <xdr:cNvPr id="3" name="Conexão reta 2">
          <a:extLst>
            <a:ext uri="{FF2B5EF4-FFF2-40B4-BE49-F238E27FC236}">
              <a16:creationId xmlns:a16="http://schemas.microsoft.com/office/drawing/2014/main" id="{D8C84EC2-921A-2581-1CAF-F867CE3F93C5}"/>
            </a:ext>
          </a:extLst>
        </xdr:cNvPr>
        <xdr:cNvCxnSpPr/>
      </xdr:nvCxnSpPr>
      <xdr:spPr>
        <a:xfrm>
          <a:off x="7958666" y="35560"/>
          <a:ext cx="7620" cy="1107694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8466</xdr:colOff>
      <xdr:row>1</xdr:row>
      <xdr:rowOff>8467</xdr:rowOff>
    </xdr:from>
    <xdr:to>
      <xdr:col>16</xdr:col>
      <xdr:colOff>25400</xdr:colOff>
      <xdr:row>37</xdr:row>
      <xdr:rowOff>135467</xdr:rowOff>
    </xdr:to>
    <xdr:cxnSp macro="">
      <xdr:nvCxnSpPr>
        <xdr:cNvPr id="8" name="Conexão reta 7">
          <a:extLst>
            <a:ext uri="{FF2B5EF4-FFF2-40B4-BE49-F238E27FC236}">
              <a16:creationId xmlns:a16="http://schemas.microsoft.com/office/drawing/2014/main" id="{F656C66E-49C5-4421-A313-0F83616FA7D1}"/>
            </a:ext>
          </a:extLst>
        </xdr:cNvPr>
        <xdr:cNvCxnSpPr/>
      </xdr:nvCxnSpPr>
      <xdr:spPr>
        <a:xfrm>
          <a:off x="11624733" y="177800"/>
          <a:ext cx="16934" cy="6053667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https://www.bing.com/financeapi/forcetrigger?t=a1o4mw&amp;q=XNYS%3aBABA&amp;form=skydnc</v>
    <v>Learn more on Bing</v>
  </rv>
  <rv s="1">
    <v>pt-BR</v>
    <v>a1o4mw</v>
    <v>268435456</v>
    <v>1</v>
    <v>Da plataforma Refinitiv</v>
    <v>0</v>
    <v>1</v>
    <v>Alibaba Group Holding Limited (XNYS:BABA)</v>
    <v>3</v>
    <v>4</v>
    <v>Finance</v>
    <v>5</v>
    <v>116.57</v>
    <v>66.066500000000005</v>
    <v>XNYS</v>
    <v>2399833000</v>
    <v>115.69</v>
    <v>1999</v>
    <v>113.75</v>
    <v>0.33</v>
    <v>New York Stock Exchange</v>
    <v>274828875160</v>
    <v>A ALIBABA GROUP HOLDING LIMITED é uma holding que fornece infraestrutura de tecnologia e alcance de marketing para ajudar comerciantes, marcas e outras empresas a aproveitar o poder da nova tecnologia para se envolver com usuários e clientes para operar. A Companhia opera quatro segmentos de negócios. O segmento Core Commerce fornece serviços de varejo na China, atacado na China, varejo internacional, atacado internacional, serviços de logística Cainiao e serviços locais ao consumidor através do Taobao Marketplace e Tmall. O segmento de Cloud Computing fornece um conjunto completo de serviços em nuvem, incluindo banco de dados, armazenamento, serviços de virtualização de rede, análise de big data e outros. O segmento de Mídia digital e entretenimento fornece serviços ao consumidor além das operações principais de negócios. O segmento de Iniciativas de Inovação e Outros é inovar e oferecer novos serviços e produtos.</v>
    <v>XNYS</v>
    <v>112.84</v>
    <v>198162</v>
    <v>45569.738308760934</v>
    <v>0</v>
    <v>23355020</v>
    <v>USD</v>
    <v>Alibaba Group Holding Limited</v>
    <v>Alibaba Group Holding Limited</v>
    <v>29.999400000000001</v>
    <v>115.55</v>
    <v>114.52</v>
    <v>969 West Wen Yi Road, Yu Hang District, HANGZHOU, ZHEJIANG, 311121 CN</v>
    <v>Software &amp; IT Services</v>
    <v>BABA</v>
    <v>Ações</v>
    <v>Alibaba Group Holding Limited (XNYS:BABA)</v>
    <v>1.68</v>
    <v>1.4887999999999998E-2</v>
    <v>19155346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CanonicalPropertyNames" t="spb"/>
    <k n="_Display" t="spb"/>
    <k n="_DisplayString" t="s"/>
    <k n="_Flags" t="spb"/>
    <k n="_Format" t="spb"/>
    <k n="_Icon" t="s"/>
    <k n="_SubLabel" t="spb"/>
    <k n="52 semanas de alta"/>
    <k n="52 semanas de baixa"/>
    <k n="Abreviatura do câmbio" t="s"/>
    <k n="Ações em circulação"/>
    <k n="Alto"/>
    <k n="Ano de incorporação"/>
    <k n="Baixo"/>
    <k n="Beta"/>
    <k n="Bolsa" t="s"/>
    <k n="Capitalização de mercado"/>
    <k n="Descrição" t="s"/>
    <k n="ExchangeID" t="s"/>
    <k n="Fechamento anterior"/>
    <k n="Funcionários"/>
    <k n="Hora da última transação"/>
    <k n="LearnMoreOnLink" t="r"/>
    <k n="Média de volume"/>
    <k n="Moeda" t="s"/>
    <k n="Nome" t="s"/>
    <k n="Nome oficial" t="s"/>
    <k n="P/E"/>
    <k n="Pendência"/>
    <k n="Preço"/>
    <k n="Sede" t="s"/>
    <k n="Setor" t="s"/>
    <k n="Símbolo do ticker" t="s"/>
    <k n="Tipo de instrumento" t="s"/>
    <k n="UniqueName" t="s"/>
    <k n="Variação"/>
    <k n="Variação (%)"/>
    <k n="Volume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3">
      <v t="s">%EntityServiceId</v>
      <v t="s">_Format</v>
      <v t="s">%IsRefreshable</v>
      <v t="s">_CanonicalPropertyNames</v>
      <v t="s">%EntityCulture</v>
      <v t="s">%EntityId</v>
      <v t="s">_Icon</v>
      <v t="s">_Display</v>
      <v t="s">Nome</v>
      <v t="s">_SubLabel</v>
      <v t="s">Preço</v>
      <v t="s">Bolsa</v>
      <v t="s">Nome oficial</v>
      <v t="s">Hora da última transação</v>
      <v t="s">Símbolo do ticker</v>
      <v t="s">Abreviatura do câmbio</v>
      <v t="s">Variação</v>
      <v t="s">Variação (%)</v>
      <v t="s">Moeda</v>
      <v t="s">Fechamento anterior</v>
      <v t="s">Pendência</v>
      <v t="s">Alto</v>
      <v t="s">Baixo</v>
      <v t="s">52 semanas de alta</v>
      <v t="s">52 semanas de baixa</v>
      <v t="s">Volume</v>
      <v t="s">Média de volume</v>
      <v t="s">Capitalização de mercado</v>
      <v t="s">Beta</v>
      <v t="s">P/E</v>
      <v t="s">Ações em circulação</v>
      <v t="s">Descrição</v>
      <v t="s">Funcionários</v>
      <v t="s">Sede</v>
      <v t="s">Setor</v>
      <v t="s">Tipo de instrumento</v>
      <v t="s">Ano de incorporação</v>
      <v t="s">_Flags</v>
      <v t="s">UniqueName</v>
      <v t="s">_DisplayString</v>
      <v t="s">LearnMoreOnLink</v>
      <v t="s">ExchangeID</v>
      <v t="s">%ProviderInfo</v>
    </a>
  </spbArrays>
  <spbData count="6">
    <spb s="0">
      <v>P/E</v>
      <v>High</v>
      <v>Beta</v>
      <v>Name</v>
      <v>Headquarters</v>
      <v>Low</v>
      <v>Exchange</v>
      <v>Currency</v>
      <v>Price</v>
      <v>Industry</v>
      <v>Volume</v>
      <v>Change</v>
      <v>Description</v>
      <v>Open</v>
      <v>ExchangeID</v>
      <v>UniqueName</v>
      <v>Employees</v>
      <v>Official name</v>
      <v>Change (%)</v>
      <v>%ProviderInfo</v>
      <v>LearnMoreOnLink</v>
      <v>Volume average</v>
      <v>Ticker symbol</v>
      <v>52 week high</v>
      <v>52 week low</v>
      <v>Year incorporated</v>
      <v>Shares outstanding</v>
      <v>Previous close</v>
      <v>Instrument type</v>
      <v>Exchange abbreviation</v>
      <v>Market cap</v>
      <v>Last trade time</v>
    </spb>
    <spb s="1">
      <v>0</v>
      <v>Name</v>
      <v>LearnMoreOnLink</v>
    </spb>
    <spb s="2">
      <v>0</v>
      <v>0</v>
      <v>0</v>
    </spb>
    <spb s="3">
      <v>2</v>
      <v>2</v>
      <v>2</v>
      <v>2</v>
    </spb>
    <spb s="4">
      <v>1</v>
      <v>2</v>
      <v>1</v>
      <v>3</v>
      <v>2</v>
      <v>2</v>
      <v>4</v>
      <v>2</v>
      <v>2</v>
      <v>4</v>
      <v>5</v>
      <v>4</v>
      <v>6</v>
      <v>2</v>
      <v>2</v>
      <v>7</v>
      <v>4</v>
      <v>2</v>
      <v>8</v>
      <v>9</v>
    </spb>
    <spb s="5">
      <v>Tempo Real Nasdaq Última venda</v>
      <v xml:space="preserve">do fechamento anterior </v>
      <v>Origem : Nasdaq Última venda</v>
      <v xml:space="preserve">do fechamento anterior </v>
      <v>GMT</v>
    </spb>
  </spbData>
</supportingPropertyBags>
</file>

<file path=xl/richData/rdsupportingpropertybagstructure.xml><?xml version="1.0" encoding="utf-8"?>
<spbStructures xmlns="http://schemas.microsoft.com/office/spreadsheetml/2017/richdata2" count="6">
  <s>
    <k n="P/E" t="s"/>
    <k n="Alto" t="s"/>
    <k n="Beta" t="s"/>
    <k n="Nome" t="s"/>
    <k n="Sede" t="s"/>
    <k n="Baixo" t="s"/>
    <k n="Bolsa" t="s"/>
    <k n="Moeda" t="s"/>
    <k n="Preço" t="s"/>
    <k n="Setor" t="s"/>
    <k n="Volume" t="s"/>
    <k n="Variação" t="s"/>
    <k n="Descrição" t="s"/>
    <k n="Pendência" t="s"/>
    <k n="ExchangeID" t="s"/>
    <k n="UniqueName" t="s"/>
    <k n="Funcionários" t="s"/>
    <k n="Nome oficial" t="s"/>
    <k n="Variação (%)" t="s"/>
    <k n="%ProviderInfo" t="s"/>
    <k n="LearnMoreOnLink" t="s"/>
    <k n="Média de volume" t="s"/>
    <k n="Símbolo do ticker" t="s"/>
    <k n="52 semanas de alta" t="s"/>
    <k n="52 semanas de baixa" t="s"/>
    <k n="Ano de incorporação" t="s"/>
    <k n="Ações em circulação" t="s"/>
    <k n="Fechamento anterior" t="s"/>
    <k n="Tipo de instrumento" t="s"/>
    <k n="Abreviatura do câmbio" t="s"/>
    <k n="Capitalização de mercado" t="s"/>
    <k n="Hora da última transação" t="s"/>
  </s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P/E" t="i"/>
    <k n="Alto" t="i"/>
    <k n="Beta" t="i"/>
    <k n="Nome" t="i"/>
    <k n="Baixo" t="i"/>
    <k n="Preço" t="i"/>
    <k n="Volume" t="i"/>
    <k n="Variação" t="i"/>
    <k n="Pendência" t="i"/>
    <k n="Funcionários" t="i"/>
    <k n="Variação (%)" t="i"/>
    <k n="Média de volume" t="i"/>
    <k n="`%EntityServiceId" t="i"/>
    <k n="52 semanas de alta" t="i"/>
    <k n="52 semanas de baixa" t="i"/>
    <k n="Ano de incorporação" t="i"/>
    <k n="Ações em circulação" t="i"/>
    <k n="Fechamento anterior" t="i"/>
    <k n="Capitalização de mercado" t="i"/>
    <k n="Hora da última transação" t="i"/>
  </s>
  <s>
    <k n="Preço" t="s"/>
    <k n="Variação" t="s"/>
    <k n="ExchangeID" t="s"/>
    <k n="Variação (%)" t="s"/>
    <k n="Hora da última transação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dd/mm/yyyy\ h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5">
      <rpv i="0">#,##0.00</rpv>
    </rSty>
    <rSty dxfid="1">
      <rpv i="0">_([$$-en-US]* #,##0.00_);_([$$-en-US]* (#,##0.00);_([$$-en-US]* "-"??_);_(@_)</rpv>
    </rSty>
    <rSty>
      <rpv i="1">1</rpv>
    </rSty>
    <rSty dxfid="4">
      <rpv i="0">#,##0</rpv>
    </rSty>
    <rSty dxfid="3"/>
    <rSty dxfid="0">
      <rpv i="0">0.00</rpv>
    </rSty>
    <rSty dxfid="6">
      <rpv i="0">0</rpv>
    </rSty>
    <rSty dxfid="1">
      <rpv i="0">_([$$-en-US]* #,##0_);_([$$-en-US]* (#,##0);_([$$-en-US]* "-"_);_(@_)</rpv>
    </rSty>
    <rSty dxfid="2"/>
  </richStyles>
</richStyleShee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B4078-E085-4589-AA70-F3448F7B7E86}">
  <dimension ref="A1:B7"/>
  <sheetViews>
    <sheetView workbookViewId="0">
      <selection activeCell="B7" sqref="B7"/>
    </sheetView>
  </sheetViews>
  <sheetFormatPr defaultRowHeight="12.75" x14ac:dyDescent="0.2"/>
  <cols>
    <col min="1" max="1" width="9.140625" style="3"/>
    <col min="2" max="2" width="13.85546875" style="3" bestFit="1" customWidth="1"/>
    <col min="3" max="16384" width="9.140625" style="3"/>
  </cols>
  <sheetData>
    <row r="1" spans="1:2" x14ac:dyDescent="0.2">
      <c r="A1" s="3" t="s">
        <v>0</v>
      </c>
      <c r="B1" s="3" t="e" vm="1">
        <v>#VALUE!</v>
      </c>
    </row>
    <row r="2" spans="1:2" x14ac:dyDescent="0.2">
      <c r="A2" s="3" t="s">
        <v>1</v>
      </c>
      <c r="B2" s="16" cm="1">
        <f t="array" aca="1" ref="B2" ca="1">_FV(B1,"Preço")</f>
        <v>114.52</v>
      </c>
    </row>
    <row r="3" spans="1:2" x14ac:dyDescent="0.2">
      <c r="A3" s="3" t="s">
        <v>2</v>
      </c>
      <c r="B3" s="3">
        <v>2550</v>
      </c>
    </row>
    <row r="4" spans="1:2" x14ac:dyDescent="0.2">
      <c r="A4" s="3" t="s">
        <v>3</v>
      </c>
      <c r="B4" s="17">
        <f ca="1">B2*B3</f>
        <v>292026</v>
      </c>
    </row>
    <row r="5" spans="1:2" x14ac:dyDescent="0.2">
      <c r="A5" s="3" t="s">
        <v>4</v>
      </c>
      <c r="B5" s="17">
        <f>35889+42313+5651+8335</f>
        <v>92188</v>
      </c>
    </row>
    <row r="6" spans="1:2" x14ac:dyDescent="0.2">
      <c r="A6" s="3" t="s">
        <v>5</v>
      </c>
      <c r="B6" s="17">
        <f>1464+7551</f>
        <v>9015</v>
      </c>
    </row>
    <row r="7" spans="1:2" x14ac:dyDescent="0.2">
      <c r="A7" s="3" t="s">
        <v>6</v>
      </c>
      <c r="B7" s="13">
        <f ca="1">B4-B5+B6</f>
        <v>208853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E9E4C-A5AE-4FC0-BE60-32568B8DF1F3}">
  <dimension ref="A1:DT64"/>
  <sheetViews>
    <sheetView tabSelected="1" zoomScale="90" zoomScaleNormal="90" workbookViewId="0">
      <pane xSplit="2" ySplit="1" topLeftCell="E2" activePane="bottomRight" state="frozen"/>
      <selection pane="topRight" activeCell="B1" sqref="B1"/>
      <selection pane="bottomLeft" activeCell="A2" sqref="A2"/>
      <selection pane="bottomRight" activeCell="Y3" sqref="Y3"/>
    </sheetView>
  </sheetViews>
  <sheetFormatPr defaultColWidth="8.85546875" defaultRowHeight="12.75" x14ac:dyDescent="0.2"/>
  <cols>
    <col min="1" max="1" width="8.85546875" style="3"/>
    <col min="2" max="2" width="32.85546875" style="3" bestFit="1" customWidth="1"/>
    <col min="3" max="3" width="11.5703125" style="3" bestFit="1" customWidth="1"/>
    <col min="4" max="5" width="11" style="3" bestFit="1" customWidth="1"/>
    <col min="6" max="6" width="12" style="3" bestFit="1" customWidth="1"/>
    <col min="7" max="10" width="11" style="3" bestFit="1" customWidth="1"/>
    <col min="11" max="11" width="12" style="3" bestFit="1" customWidth="1"/>
    <col min="12" max="13" width="8.85546875" style="3"/>
    <col min="14" max="16" width="9.140625" style="3" bestFit="1" customWidth="1"/>
    <col min="17" max="19" width="10.140625" style="3" bestFit="1" customWidth="1"/>
    <col min="20" max="23" width="11.5703125" style="3" bestFit="1" customWidth="1"/>
    <col min="24" max="25" width="11" style="3" bestFit="1" customWidth="1"/>
    <col min="26" max="26" width="14.140625" style="3" bestFit="1" customWidth="1"/>
    <col min="27" max="124" width="9.140625" style="3" bestFit="1" customWidth="1"/>
    <col min="125" max="16384" width="8.85546875" style="3"/>
  </cols>
  <sheetData>
    <row r="1" spans="1:26" x14ac:dyDescent="0.2">
      <c r="A1" s="1" t="s">
        <v>7</v>
      </c>
      <c r="C1" s="2">
        <v>44651</v>
      </c>
      <c r="D1" s="3" t="s">
        <v>45</v>
      </c>
      <c r="E1" s="3" t="s">
        <v>43</v>
      </c>
      <c r="F1" s="4">
        <v>44926</v>
      </c>
      <c r="G1" s="4">
        <v>45016</v>
      </c>
      <c r="H1" s="3" t="s">
        <v>46</v>
      </c>
      <c r="I1" s="3" t="s">
        <v>8</v>
      </c>
    </row>
    <row r="2" spans="1:26" x14ac:dyDescent="0.2">
      <c r="B2" s="3" t="s">
        <v>21</v>
      </c>
      <c r="C2" s="5" t="s">
        <v>62</v>
      </c>
      <c r="D2" s="5" t="s">
        <v>63</v>
      </c>
      <c r="E2" s="5" t="s">
        <v>64</v>
      </c>
      <c r="F2" s="5" t="s">
        <v>65</v>
      </c>
      <c r="G2" s="5" t="s">
        <v>66</v>
      </c>
      <c r="H2" s="5" t="s">
        <v>67</v>
      </c>
      <c r="I2" s="5" t="s">
        <v>68</v>
      </c>
      <c r="J2" s="5" t="s">
        <v>69</v>
      </c>
      <c r="K2" s="5" t="s">
        <v>70</v>
      </c>
      <c r="N2" s="5">
        <v>2021</v>
      </c>
      <c r="O2" s="5">
        <v>2022</v>
      </c>
      <c r="P2" s="5">
        <v>2023</v>
      </c>
      <c r="Q2" s="5">
        <f>P2+1</f>
        <v>2024</v>
      </c>
      <c r="R2" s="5">
        <f t="shared" ref="R2:W2" si="0">Q2+1</f>
        <v>2025</v>
      </c>
      <c r="S2" s="5">
        <f t="shared" si="0"/>
        <v>2026</v>
      </c>
      <c r="T2" s="5">
        <f t="shared" si="0"/>
        <v>2027</v>
      </c>
      <c r="U2" s="5">
        <f t="shared" si="0"/>
        <v>2028</v>
      </c>
      <c r="V2" s="5">
        <f t="shared" si="0"/>
        <v>2029</v>
      </c>
      <c r="W2" s="5">
        <f t="shared" si="0"/>
        <v>2030</v>
      </c>
    </row>
    <row r="3" spans="1:26" x14ac:dyDescent="0.2">
      <c r="B3" s="3" t="s">
        <v>9</v>
      </c>
      <c r="C3" s="6">
        <v>140079</v>
      </c>
      <c r="D3" s="6">
        <v>102517</v>
      </c>
      <c r="E3" s="6">
        <v>93735</v>
      </c>
      <c r="F3" s="6">
        <v>169986</v>
      </c>
      <c r="G3" s="6">
        <v>136073</v>
      </c>
      <c r="H3" s="6">
        <v>114953</v>
      </c>
      <c r="I3" s="6">
        <v>97654</v>
      </c>
      <c r="J3" s="6">
        <v>129070</v>
      </c>
      <c r="K3" s="6"/>
      <c r="L3" s="6"/>
      <c r="M3" s="6"/>
      <c r="N3" s="6">
        <v>501683</v>
      </c>
      <c r="O3" s="6">
        <v>592705</v>
      </c>
      <c r="P3" s="6">
        <f>SUM(D3:G3)</f>
        <v>502311</v>
      </c>
      <c r="Q3" s="6">
        <f>P3*1.04</f>
        <v>522403.44</v>
      </c>
      <c r="R3" s="6">
        <f>Q3*1.06</f>
        <v>553747.64640000009</v>
      </c>
      <c r="S3" s="6">
        <f>R3*1.04</f>
        <v>575897.55225600011</v>
      </c>
      <c r="T3" s="6">
        <f t="shared" ref="T3:V3" si="1">S3*1.03</f>
        <v>593174.47882368008</v>
      </c>
      <c r="U3" s="6">
        <f>T3*1.05</f>
        <v>622833.20276486408</v>
      </c>
      <c r="V3" s="6">
        <f t="shared" si="1"/>
        <v>641518.19884781004</v>
      </c>
      <c r="W3" s="6">
        <f>V3*1.04</f>
        <v>667178.9268017225</v>
      </c>
      <c r="Y3" s="3" t="s">
        <v>53</v>
      </c>
      <c r="Z3" s="7">
        <v>0.09</v>
      </c>
    </row>
    <row r="4" spans="1:26" x14ac:dyDescent="0.2">
      <c r="B4" s="3" t="s">
        <v>10</v>
      </c>
      <c r="C4" s="6">
        <v>14335</v>
      </c>
      <c r="D4" s="6">
        <v>15721</v>
      </c>
      <c r="E4" s="6">
        <v>16046</v>
      </c>
      <c r="F4" s="6">
        <v>19465</v>
      </c>
      <c r="G4" s="6">
        <v>18541</v>
      </c>
      <c r="H4" s="6">
        <v>22123</v>
      </c>
      <c r="I4" s="6">
        <v>24511</v>
      </c>
      <c r="J4" s="6">
        <v>28516</v>
      </c>
      <c r="K4" s="6"/>
      <c r="L4" s="6"/>
      <c r="M4" s="6"/>
      <c r="N4" s="6">
        <v>48851</v>
      </c>
      <c r="O4" s="6">
        <v>61078</v>
      </c>
      <c r="P4" s="6">
        <f t="shared" ref="P4:P36" si="2">SUM(D4:G4)</f>
        <v>69773</v>
      </c>
      <c r="Q4" s="6">
        <f>P4*1.11</f>
        <v>77448.030000000013</v>
      </c>
      <c r="R4" s="6">
        <f t="shared" ref="R4:W4" si="3">Q4*1.11</f>
        <v>85967.313300000023</v>
      </c>
      <c r="S4" s="6">
        <f t="shared" si="3"/>
        <v>95423.717763000037</v>
      </c>
      <c r="T4" s="6">
        <f t="shared" si="3"/>
        <v>105920.32671693005</v>
      </c>
      <c r="U4" s="6">
        <f t="shared" si="3"/>
        <v>117571.56265579237</v>
      </c>
      <c r="V4" s="6">
        <f t="shared" si="3"/>
        <v>130504.43454792954</v>
      </c>
      <c r="W4" s="6">
        <f t="shared" si="3"/>
        <v>144859.9223482018</v>
      </c>
      <c r="Y4" s="3" t="s">
        <v>54</v>
      </c>
      <c r="Z4" s="7">
        <v>-0.01</v>
      </c>
    </row>
    <row r="5" spans="1:26" x14ac:dyDescent="0.2">
      <c r="B5" s="3" t="s">
        <v>11</v>
      </c>
      <c r="C5" s="6">
        <v>10696</v>
      </c>
      <c r="D5" s="6">
        <v>11131</v>
      </c>
      <c r="E5" s="6">
        <v>13381</v>
      </c>
      <c r="F5" s="6">
        <v>13164</v>
      </c>
      <c r="G5" s="6">
        <v>12549</v>
      </c>
      <c r="H5" s="6">
        <v>14450</v>
      </c>
      <c r="I5" s="6">
        <v>15564</v>
      </c>
      <c r="J5" s="6">
        <v>15160</v>
      </c>
      <c r="K5" s="6"/>
      <c r="L5" s="6"/>
      <c r="M5" s="6"/>
      <c r="N5" s="6">
        <v>35442</v>
      </c>
      <c r="O5" s="6">
        <v>43491</v>
      </c>
      <c r="P5" s="6">
        <f t="shared" si="2"/>
        <v>50225</v>
      </c>
      <c r="Q5" s="6">
        <f>P5*1.06</f>
        <v>53238.5</v>
      </c>
      <c r="R5" s="6">
        <f t="shared" ref="R5:V5" si="4">Q5*1.06</f>
        <v>56432.810000000005</v>
      </c>
      <c r="S5" s="6">
        <f t="shared" si="4"/>
        <v>59818.778600000005</v>
      </c>
      <c r="T5" s="6">
        <f t="shared" si="4"/>
        <v>63407.905316000011</v>
      </c>
      <c r="U5" s="6">
        <f t="shared" si="4"/>
        <v>67212.379634960016</v>
      </c>
      <c r="V5" s="6">
        <f t="shared" si="4"/>
        <v>71245.122413057616</v>
      </c>
      <c r="W5" s="6">
        <f>V5*1.06</f>
        <v>75519.829757841071</v>
      </c>
      <c r="Y5" s="3" t="s">
        <v>55</v>
      </c>
      <c r="Z5" s="8">
        <v>2.5000000000000001E-2</v>
      </c>
    </row>
    <row r="6" spans="1:26" x14ac:dyDescent="0.2">
      <c r="B6" s="3" t="s">
        <v>12</v>
      </c>
      <c r="C6" s="6">
        <v>11582</v>
      </c>
      <c r="D6" s="6">
        <v>17292</v>
      </c>
      <c r="E6" s="6">
        <v>18282</v>
      </c>
      <c r="F6" s="6">
        <v>16553</v>
      </c>
      <c r="G6" s="6">
        <v>13619</v>
      </c>
      <c r="H6" s="6">
        <v>23164</v>
      </c>
      <c r="I6" s="6">
        <v>22823</v>
      </c>
      <c r="J6" s="6">
        <v>28476</v>
      </c>
      <c r="K6" s="6"/>
      <c r="L6" s="6"/>
      <c r="M6" s="6"/>
      <c r="N6" s="6">
        <v>37258</v>
      </c>
      <c r="O6" s="6">
        <v>46107</v>
      </c>
      <c r="P6" s="6">
        <f t="shared" si="2"/>
        <v>65746</v>
      </c>
      <c r="Q6" s="6">
        <f>P6*1.1</f>
        <v>72320.600000000006</v>
      </c>
      <c r="R6" s="6">
        <f>Q6*1.11</f>
        <v>80275.866000000009</v>
      </c>
      <c r="S6" s="6">
        <f t="shared" ref="S6:W6" si="5">R6*1.1</f>
        <v>88303.452600000019</v>
      </c>
      <c r="T6" s="6">
        <f t="shared" si="5"/>
        <v>97133.797860000035</v>
      </c>
      <c r="U6" s="6">
        <f t="shared" si="5"/>
        <v>106847.17764600004</v>
      </c>
      <c r="V6" s="6">
        <f t="shared" si="5"/>
        <v>117531.89541060006</v>
      </c>
      <c r="W6" s="6">
        <f t="shared" si="5"/>
        <v>129285.08495166007</v>
      </c>
      <c r="Y6" s="3" t="s">
        <v>52</v>
      </c>
      <c r="Z6" s="6">
        <f>NPV(Z3,Q34:DT34)</f>
        <v>1804614.9778791494</v>
      </c>
    </row>
    <row r="7" spans="1:26" x14ac:dyDescent="0.2">
      <c r="B7" s="3" t="s">
        <v>13</v>
      </c>
      <c r="C7" s="6">
        <v>18971</v>
      </c>
      <c r="D7" s="6">
        <v>24127</v>
      </c>
      <c r="E7" s="6">
        <v>27035</v>
      </c>
      <c r="F7" s="6">
        <v>20179</v>
      </c>
      <c r="G7" s="6">
        <v>18582</v>
      </c>
      <c r="H7" s="6">
        <v>25123</v>
      </c>
      <c r="I7" s="6">
        <v>27648</v>
      </c>
      <c r="J7" s="6">
        <v>28066</v>
      </c>
      <c r="K7" s="6"/>
      <c r="L7" s="6"/>
      <c r="M7" s="6"/>
      <c r="N7" s="6">
        <v>60558</v>
      </c>
      <c r="O7" s="6">
        <v>74568</v>
      </c>
      <c r="P7" s="6">
        <f t="shared" si="2"/>
        <v>89923</v>
      </c>
      <c r="Q7" s="6">
        <f>P7*1.03</f>
        <v>92620.69</v>
      </c>
      <c r="R7" s="6">
        <f>Q7*1.03</f>
        <v>95399.310700000002</v>
      </c>
      <c r="S7" s="6">
        <f>R7*1.03</f>
        <v>98261.290021000008</v>
      </c>
      <c r="T7" s="6">
        <f>S7*1.03</f>
        <v>101209.12872163001</v>
      </c>
      <c r="U7" s="6">
        <f t="shared" ref="U7:W7" si="6">T7*1.03</f>
        <v>104245.40258327892</v>
      </c>
      <c r="V7" s="6">
        <f t="shared" si="6"/>
        <v>107372.76466077729</v>
      </c>
      <c r="W7" s="6">
        <f t="shared" si="6"/>
        <v>110593.94760060062</v>
      </c>
      <c r="Y7" s="3" t="s">
        <v>56</v>
      </c>
      <c r="Z7" s="6">
        <f>(main!B5-main!B6)*model!I46</f>
        <v>606830.20799999998</v>
      </c>
    </row>
    <row r="8" spans="1:26" x14ac:dyDescent="0.2">
      <c r="B8" s="3" t="s">
        <v>14</v>
      </c>
      <c r="C8" s="6">
        <v>8005</v>
      </c>
      <c r="D8" s="6">
        <v>3966</v>
      </c>
      <c r="E8" s="6">
        <v>5228</v>
      </c>
      <c r="F8" s="6">
        <v>7586</v>
      </c>
      <c r="G8" s="6">
        <v>8273</v>
      </c>
      <c r="H8" s="6">
        <v>5381</v>
      </c>
      <c r="I8" s="6">
        <v>5779</v>
      </c>
      <c r="J8" s="6">
        <v>5040</v>
      </c>
      <c r="K8" s="6"/>
      <c r="L8" s="6"/>
      <c r="M8" s="6"/>
      <c r="N8" s="6">
        <v>31186</v>
      </c>
      <c r="O8" s="6">
        <v>32272</v>
      </c>
      <c r="P8" s="6">
        <f t="shared" si="2"/>
        <v>25053</v>
      </c>
      <c r="Q8" s="6">
        <f>P8*1.03</f>
        <v>25804.59</v>
      </c>
      <c r="R8" s="6">
        <f t="shared" ref="R8:W8" si="7">Q8*1.03</f>
        <v>26578.727699999999</v>
      </c>
      <c r="S8" s="6">
        <f>R8*1.035</f>
        <v>27508.983169499996</v>
      </c>
      <c r="T8" s="6">
        <f t="shared" si="7"/>
        <v>28334.252664584998</v>
      </c>
      <c r="U8" s="6">
        <f t="shared" si="7"/>
        <v>29184.28024452255</v>
      </c>
      <c r="V8" s="6">
        <f t="shared" si="7"/>
        <v>30059.808651858228</v>
      </c>
      <c r="W8" s="6">
        <f t="shared" si="7"/>
        <v>30961.602911413975</v>
      </c>
      <c r="Y8" s="3" t="s">
        <v>6</v>
      </c>
      <c r="Z8" s="6">
        <f>Z6+Z7</f>
        <v>2411445.1858791495</v>
      </c>
    </row>
    <row r="9" spans="1:26" x14ac:dyDescent="0.2">
      <c r="B9" s="3" t="s">
        <v>15</v>
      </c>
      <c r="C9" s="6">
        <v>384</v>
      </c>
      <c r="D9" s="6">
        <v>45152</v>
      </c>
      <c r="E9" s="6">
        <v>48142</v>
      </c>
      <c r="F9" s="6">
        <v>823</v>
      </c>
      <c r="G9" s="6">
        <v>563</v>
      </c>
      <c r="H9" s="6">
        <v>45541</v>
      </c>
      <c r="I9" s="6">
        <v>48052</v>
      </c>
      <c r="J9" s="6">
        <v>47023</v>
      </c>
      <c r="K9" s="6"/>
      <c r="L9" s="6"/>
      <c r="M9" s="6"/>
      <c r="N9" s="6">
        <v>2311</v>
      </c>
      <c r="O9" s="6">
        <v>2841</v>
      </c>
      <c r="P9" s="6">
        <f t="shared" si="2"/>
        <v>94680</v>
      </c>
      <c r="Q9" s="6">
        <v>2500</v>
      </c>
      <c r="R9" s="6">
        <f>Q9*1.02</f>
        <v>2550</v>
      </c>
      <c r="S9" s="6">
        <f t="shared" ref="S9:W9" si="8">R9*1.02</f>
        <v>2601</v>
      </c>
      <c r="T9" s="6">
        <f t="shared" si="8"/>
        <v>2653.02</v>
      </c>
      <c r="U9" s="6">
        <f t="shared" si="8"/>
        <v>2706.0803999999998</v>
      </c>
      <c r="V9" s="6">
        <f t="shared" si="8"/>
        <v>2760.2020079999998</v>
      </c>
      <c r="W9" s="6">
        <f t="shared" si="8"/>
        <v>2815.40604816</v>
      </c>
      <c r="Y9" s="3" t="s">
        <v>58</v>
      </c>
      <c r="Z9" s="6">
        <f>Z8/I46</f>
        <v>330516.06166106765</v>
      </c>
    </row>
    <row r="10" spans="1:26" x14ac:dyDescent="0.2">
      <c r="B10" s="3" t="s">
        <v>16</v>
      </c>
      <c r="C10" s="6">
        <f t="shared" ref="C10" si="9">SUM(C3:C9)</f>
        <v>204052</v>
      </c>
      <c r="D10" s="6">
        <f t="shared" ref="D10:H10" si="10">SUM(D3:D9)</f>
        <v>219906</v>
      </c>
      <c r="E10" s="6">
        <f t="shared" si="10"/>
        <v>221849</v>
      </c>
      <c r="F10" s="6">
        <f t="shared" si="10"/>
        <v>247756</v>
      </c>
      <c r="G10" s="6">
        <f>SUM(G3:G9)</f>
        <v>208200</v>
      </c>
      <c r="H10" s="6">
        <f t="shared" si="10"/>
        <v>250735</v>
      </c>
      <c r="I10" s="6">
        <f>SUM(I3:I9)</f>
        <v>242031</v>
      </c>
      <c r="J10" s="6">
        <f t="shared" ref="J10" si="11">SUM(J3:J9)</f>
        <v>281351</v>
      </c>
      <c r="K10" s="6"/>
      <c r="L10" s="6"/>
      <c r="M10" s="6"/>
      <c r="N10" s="6">
        <f t="shared" ref="N10" si="12">SUM(N3:N9)</f>
        <v>717289</v>
      </c>
      <c r="O10" s="6">
        <f>SUM(O3:O9)</f>
        <v>853062</v>
      </c>
      <c r="P10" s="6">
        <f t="shared" si="2"/>
        <v>897711</v>
      </c>
      <c r="Q10" s="6">
        <f>SUM(Q3:Q9)</f>
        <v>846335.85</v>
      </c>
      <c r="R10" s="6">
        <f t="shared" ref="R10:W10" si="13">SUM(R3:R9)</f>
        <v>900951.67410000029</v>
      </c>
      <c r="S10" s="6">
        <f t="shared" si="13"/>
        <v>947814.77440950018</v>
      </c>
      <c r="T10" s="6">
        <f t="shared" si="13"/>
        <v>991832.91010282515</v>
      </c>
      <c r="U10" s="6">
        <f t="shared" si="13"/>
        <v>1050600.085929418</v>
      </c>
      <c r="V10" s="6">
        <f t="shared" si="13"/>
        <v>1100992.426540033</v>
      </c>
      <c r="W10" s="6">
        <f t="shared" si="13"/>
        <v>1161214.7204195999</v>
      </c>
      <c r="Y10" s="3" t="s">
        <v>1</v>
      </c>
      <c r="Z10" s="10">
        <f>Z9/main!B3</f>
        <v>129.61414182786967</v>
      </c>
    </row>
    <row r="11" spans="1:26" x14ac:dyDescent="0.2">
      <c r="B11" s="3" t="s">
        <v>17</v>
      </c>
      <c r="C11" s="6"/>
      <c r="D11" s="6">
        <f>193-14544</f>
        <v>-14351</v>
      </c>
      <c r="E11" s="6">
        <f>216-14889</f>
        <v>-14673</v>
      </c>
      <c r="F11" s="6"/>
      <c r="G11" s="6"/>
      <c r="H11" s="6">
        <f>249-16828</f>
        <v>-16579</v>
      </c>
      <c r="I11" s="6">
        <f>277-17518</f>
        <v>-17241</v>
      </c>
      <c r="J11" s="6">
        <f>374-21377</f>
        <v>-21003</v>
      </c>
      <c r="K11" s="6"/>
      <c r="L11" s="6"/>
      <c r="M11" s="6"/>
      <c r="N11" s="6">
        <v>-34430</v>
      </c>
      <c r="O11" s="6">
        <v>-35911</v>
      </c>
      <c r="P11" s="6">
        <f t="shared" si="2"/>
        <v>-29024</v>
      </c>
      <c r="Q11" s="6">
        <f>P11*0.99</f>
        <v>-28733.759999999998</v>
      </c>
      <c r="R11" s="6">
        <f t="shared" ref="R11:W11" si="14">Q11*0.99</f>
        <v>-28446.422399999999</v>
      </c>
      <c r="S11" s="6">
        <f t="shared" si="14"/>
        <v>-28161.958176</v>
      </c>
      <c r="T11" s="6">
        <f t="shared" si="14"/>
        <v>-27880.338594239998</v>
      </c>
      <c r="U11" s="6">
        <f t="shared" si="14"/>
        <v>-27601.535208297599</v>
      </c>
      <c r="V11" s="6">
        <f t="shared" si="14"/>
        <v>-27325.519856214622</v>
      </c>
      <c r="W11" s="6">
        <f t="shared" si="14"/>
        <v>-27052.264657652475</v>
      </c>
      <c r="Z11" s="9">
        <f>+Z10*0.5</f>
        <v>64.807070913934837</v>
      </c>
    </row>
    <row r="12" spans="1:26" x14ac:dyDescent="0.2">
      <c r="B12" s="5" t="s">
        <v>18</v>
      </c>
      <c r="C12" s="11">
        <f t="shared" ref="C12" si="15">C10+C11</f>
        <v>204052</v>
      </c>
      <c r="D12" s="11">
        <f t="shared" ref="D12:H12" si="16">D10+D11</f>
        <v>205555</v>
      </c>
      <c r="E12" s="11">
        <f t="shared" si="16"/>
        <v>207176</v>
      </c>
      <c r="F12" s="11">
        <f t="shared" si="16"/>
        <v>247756</v>
      </c>
      <c r="G12" s="11">
        <f t="shared" si="16"/>
        <v>208200</v>
      </c>
      <c r="H12" s="11">
        <f t="shared" si="16"/>
        <v>234156</v>
      </c>
      <c r="I12" s="11">
        <f>I10+I11</f>
        <v>224790</v>
      </c>
      <c r="J12" s="11">
        <f t="shared" ref="J12" si="17">J10+J11</f>
        <v>260348</v>
      </c>
      <c r="K12" s="6"/>
      <c r="L12" s="6"/>
      <c r="M12" s="6"/>
      <c r="N12" s="11">
        <f t="shared" ref="N12" si="18">N10+N11</f>
        <v>682859</v>
      </c>
      <c r="O12" s="11">
        <f>O10+O11</f>
        <v>817151</v>
      </c>
      <c r="P12" s="11">
        <f t="shared" si="2"/>
        <v>868687</v>
      </c>
      <c r="Q12" s="11">
        <f>Q10+Q11</f>
        <v>817602.09</v>
      </c>
      <c r="R12" s="11">
        <f t="shared" ref="R12:W12" si="19">R10+R11</f>
        <v>872505.25170000026</v>
      </c>
      <c r="S12" s="11">
        <f t="shared" si="19"/>
        <v>919652.81623350014</v>
      </c>
      <c r="T12" s="11">
        <f t="shared" si="19"/>
        <v>963952.57150858513</v>
      </c>
      <c r="U12" s="11">
        <f t="shared" si="19"/>
        <v>1022998.5507211204</v>
      </c>
      <c r="V12" s="11">
        <f t="shared" si="19"/>
        <v>1073666.9066838184</v>
      </c>
      <c r="W12" s="11">
        <f t="shared" si="19"/>
        <v>1134162.4557619474</v>
      </c>
    </row>
    <row r="13" spans="1:26" x14ac:dyDescent="0.2">
      <c r="B13" s="3" t="s">
        <v>22</v>
      </c>
      <c r="C13" s="6">
        <v>138945</v>
      </c>
      <c r="D13" s="6">
        <v>129657</v>
      </c>
      <c r="E13" s="6">
        <v>131210</v>
      </c>
      <c r="F13" s="6">
        <v>150005</v>
      </c>
      <c r="G13" s="6">
        <v>138823</v>
      </c>
      <c r="H13" s="6">
        <v>142347</v>
      </c>
      <c r="I13" s="6">
        <v>139664</v>
      </c>
      <c r="J13" s="6">
        <v>156214</v>
      </c>
      <c r="K13" s="6"/>
      <c r="L13" s="6"/>
      <c r="M13" s="6"/>
      <c r="N13" s="6">
        <v>421205</v>
      </c>
      <c r="O13" s="6">
        <v>539450</v>
      </c>
      <c r="P13" s="6">
        <f t="shared" si="2"/>
        <v>549695</v>
      </c>
      <c r="Q13" s="6">
        <f>P13*1.025</f>
        <v>563437.375</v>
      </c>
      <c r="R13" s="6">
        <f t="shared" ref="R13:W13" si="20">Q13*1.025</f>
        <v>577523.30937499995</v>
      </c>
      <c r="S13" s="6">
        <f t="shared" si="20"/>
        <v>591961.39210937486</v>
      </c>
      <c r="T13" s="6">
        <f t="shared" si="20"/>
        <v>606760.42691210913</v>
      </c>
      <c r="U13" s="6">
        <f t="shared" si="20"/>
        <v>621929.43758491182</v>
      </c>
      <c r="V13" s="6">
        <f t="shared" si="20"/>
        <v>637477.67352453456</v>
      </c>
      <c r="W13" s="6">
        <f t="shared" si="20"/>
        <v>653414.61536264792</v>
      </c>
    </row>
    <row r="14" spans="1:26" x14ac:dyDescent="0.2">
      <c r="B14" s="5" t="s">
        <v>23</v>
      </c>
      <c r="C14" s="11">
        <f t="shared" ref="C14" si="21">C12-C13</f>
        <v>65107</v>
      </c>
      <c r="D14" s="11">
        <f t="shared" ref="D14" si="22">D12-D13</f>
        <v>75898</v>
      </c>
      <c r="E14" s="11">
        <f>E12-E13</f>
        <v>75966</v>
      </c>
      <c r="F14" s="11">
        <f t="shared" ref="F14:I14" si="23">F12-F13</f>
        <v>97751</v>
      </c>
      <c r="G14" s="11">
        <f t="shared" si="23"/>
        <v>69377</v>
      </c>
      <c r="H14" s="11">
        <f t="shared" si="23"/>
        <v>91809</v>
      </c>
      <c r="I14" s="11">
        <f t="shared" si="23"/>
        <v>85126</v>
      </c>
      <c r="J14" s="11">
        <f t="shared" ref="J14" si="24">J12-J13</f>
        <v>104134</v>
      </c>
      <c r="K14" s="6"/>
      <c r="L14" s="6"/>
      <c r="M14" s="6"/>
      <c r="N14" s="6">
        <f t="shared" ref="N14" si="25">N12-N13</f>
        <v>261654</v>
      </c>
      <c r="O14" s="6">
        <f>O12-O13</f>
        <v>277701</v>
      </c>
      <c r="P14" s="6">
        <f t="shared" si="2"/>
        <v>318992</v>
      </c>
      <c r="Q14" s="6">
        <f>Q12-Q13</f>
        <v>254164.71499999997</v>
      </c>
      <c r="R14" s="6">
        <f t="shared" ref="R14:W14" si="26">R12-R13</f>
        <v>294981.9423250003</v>
      </c>
      <c r="S14" s="6">
        <f t="shared" si="26"/>
        <v>327691.42412412527</v>
      </c>
      <c r="T14" s="6">
        <f t="shared" si="26"/>
        <v>357192.14459647599</v>
      </c>
      <c r="U14" s="6">
        <f t="shared" si="26"/>
        <v>401069.11313620862</v>
      </c>
      <c r="V14" s="6">
        <f t="shared" si="26"/>
        <v>436189.23315928387</v>
      </c>
      <c r="W14" s="6">
        <f t="shared" si="26"/>
        <v>480747.84039929952</v>
      </c>
    </row>
    <row r="15" spans="1:26" x14ac:dyDescent="0.2">
      <c r="B15" s="3" t="s">
        <v>24</v>
      </c>
      <c r="C15" s="6">
        <v>10944</v>
      </c>
      <c r="D15" s="6">
        <v>14193</v>
      </c>
      <c r="E15" s="6">
        <v>15150</v>
      </c>
      <c r="F15" s="6">
        <v>13521</v>
      </c>
      <c r="G15" s="6">
        <v>13880</v>
      </c>
      <c r="H15" s="6">
        <v>10465</v>
      </c>
      <c r="I15" s="6">
        <v>14218</v>
      </c>
      <c r="J15" s="6">
        <v>13488</v>
      </c>
      <c r="K15" s="6"/>
      <c r="L15" s="6"/>
      <c r="M15" s="6"/>
      <c r="N15" s="6">
        <v>57236</v>
      </c>
      <c r="O15" s="6">
        <v>55465</v>
      </c>
      <c r="P15" s="6">
        <f t="shared" si="2"/>
        <v>56744</v>
      </c>
      <c r="Q15" s="6">
        <f>P15*1.01</f>
        <v>57311.44</v>
      </c>
      <c r="R15" s="6">
        <f t="shared" ref="R15:W15" si="27">Q15*1.01</f>
        <v>57884.554400000001</v>
      </c>
      <c r="S15" s="6">
        <f t="shared" si="27"/>
        <v>58463.399944000004</v>
      </c>
      <c r="T15" s="6">
        <f t="shared" si="27"/>
        <v>59048.033943440008</v>
      </c>
      <c r="U15" s="6">
        <f t="shared" si="27"/>
        <v>59638.514282874406</v>
      </c>
      <c r="V15" s="6">
        <f t="shared" si="27"/>
        <v>60234.899425703152</v>
      </c>
      <c r="W15" s="6">
        <f t="shared" si="27"/>
        <v>60837.248419960182</v>
      </c>
    </row>
    <row r="16" spans="1:26" x14ac:dyDescent="0.2">
      <c r="B16" s="3" t="s">
        <v>25</v>
      </c>
      <c r="C16" s="6">
        <v>27200</v>
      </c>
      <c r="D16" s="6">
        <v>25578</v>
      </c>
      <c r="E16" s="6">
        <v>22359</v>
      </c>
      <c r="F16" s="6">
        <v>30628</v>
      </c>
      <c r="G16" s="6">
        <v>24931</v>
      </c>
      <c r="H16" s="6">
        <v>27047</v>
      </c>
      <c r="I16" s="6">
        <v>25485</v>
      </c>
      <c r="J16" s="6">
        <v>33783</v>
      </c>
      <c r="K16" s="6"/>
      <c r="L16" s="6"/>
      <c r="M16" s="6"/>
      <c r="N16" s="6">
        <v>81519</v>
      </c>
      <c r="O16" s="6">
        <v>119799</v>
      </c>
      <c r="P16" s="6">
        <f t="shared" si="2"/>
        <v>103496</v>
      </c>
      <c r="Q16" s="6">
        <f>P16*0.99</f>
        <v>102461.04</v>
      </c>
      <c r="R16" s="6">
        <f t="shared" ref="R16:W16" si="28">Q16*0.99</f>
        <v>101436.42959999999</v>
      </c>
      <c r="S16" s="6">
        <f t="shared" si="28"/>
        <v>100422.06530399999</v>
      </c>
      <c r="T16" s="6">
        <f t="shared" si="28"/>
        <v>99417.844650959989</v>
      </c>
      <c r="U16" s="6">
        <f t="shared" si="28"/>
        <v>98423.66620445039</v>
      </c>
      <c r="V16" s="6">
        <f t="shared" si="28"/>
        <v>97439.42954240588</v>
      </c>
      <c r="W16" s="6">
        <f t="shared" si="28"/>
        <v>96465.035246981817</v>
      </c>
    </row>
    <row r="17" spans="2:23" x14ac:dyDescent="0.2">
      <c r="B17" s="3" t="s">
        <v>26</v>
      </c>
      <c r="C17" s="6">
        <v>7415</v>
      </c>
      <c r="D17" s="6">
        <v>8433</v>
      </c>
      <c r="E17" s="6">
        <v>10591</v>
      </c>
      <c r="F17" s="6">
        <v>10327</v>
      </c>
      <c r="G17" s="6">
        <v>12832</v>
      </c>
      <c r="H17" s="6">
        <v>7297</v>
      </c>
      <c r="I17" s="6">
        <v>9408</v>
      </c>
      <c r="J17" s="6">
        <v>11261</v>
      </c>
      <c r="K17" s="6"/>
      <c r="L17" s="6"/>
      <c r="M17" s="6"/>
      <c r="N17" s="6">
        <v>55224</v>
      </c>
      <c r="O17" s="6">
        <v>31922</v>
      </c>
      <c r="P17" s="6">
        <f t="shared" si="2"/>
        <v>42183</v>
      </c>
      <c r="Q17" s="6">
        <f>P17*1.025</f>
        <v>43237.574999999997</v>
      </c>
      <c r="R17" s="6">
        <f t="shared" ref="R17:W17" si="29">Q17*1.025</f>
        <v>44318.514374999992</v>
      </c>
      <c r="S17" s="6">
        <f t="shared" si="29"/>
        <v>45426.477234374986</v>
      </c>
      <c r="T17" s="6">
        <f t="shared" si="29"/>
        <v>46562.139165234359</v>
      </c>
      <c r="U17" s="6">
        <f t="shared" si="29"/>
        <v>47726.192644365212</v>
      </c>
      <c r="V17" s="6">
        <f t="shared" si="29"/>
        <v>48919.347460474339</v>
      </c>
      <c r="W17" s="6">
        <f t="shared" si="29"/>
        <v>50142.331146986195</v>
      </c>
    </row>
    <row r="18" spans="2:23" x14ac:dyDescent="0.2">
      <c r="B18" s="3" t="s">
        <v>27</v>
      </c>
      <c r="C18" s="6">
        <v>2831</v>
      </c>
      <c r="D18" s="6">
        <v>2751</v>
      </c>
      <c r="E18" s="6">
        <v>2729</v>
      </c>
      <c r="F18" s="6">
        <f>5530+2714</f>
        <v>8244</v>
      </c>
      <c r="G18" s="6">
        <v>2494</v>
      </c>
      <c r="H18" s="6">
        <f>2479+2031</f>
        <v>4510</v>
      </c>
      <c r="I18" s="6">
        <v>2431</v>
      </c>
      <c r="J18" s="6">
        <f>14601+8490</f>
        <v>23091</v>
      </c>
      <c r="K18" s="6"/>
      <c r="L18" s="6"/>
      <c r="M18" s="6"/>
      <c r="N18" s="6">
        <v>12427</v>
      </c>
      <c r="O18" s="6">
        <f>11647+25141</f>
        <v>36788</v>
      </c>
      <c r="P18" s="6">
        <f t="shared" si="2"/>
        <v>16218</v>
      </c>
      <c r="Q18" s="6">
        <f>P18*1.015</f>
        <v>16461.269999999997</v>
      </c>
      <c r="R18" s="6">
        <f t="shared" ref="R18:W18" si="30">Q18*1.01</f>
        <v>16625.882699999998</v>
      </c>
      <c r="S18" s="6">
        <f t="shared" si="30"/>
        <v>16792.141527</v>
      </c>
      <c r="T18" s="6">
        <f t="shared" si="30"/>
        <v>16960.06294227</v>
      </c>
      <c r="U18" s="6">
        <f t="shared" si="30"/>
        <v>17129.663571692701</v>
      </c>
      <c r="V18" s="6">
        <f t="shared" si="30"/>
        <v>17300.960207409629</v>
      </c>
      <c r="W18" s="6">
        <f t="shared" si="30"/>
        <v>17473.969809483726</v>
      </c>
    </row>
    <row r="19" spans="2:23" x14ac:dyDescent="0.2">
      <c r="B19" s="5" t="s">
        <v>19</v>
      </c>
      <c r="C19" s="11">
        <f t="shared" ref="C19" si="31">C14-SUM(C15:C18)</f>
        <v>16717</v>
      </c>
      <c r="D19" s="11">
        <f t="shared" ref="D19" si="32">D14-SUM(D15:D18)</f>
        <v>24943</v>
      </c>
      <c r="E19" s="11">
        <f>E14-SUM(E15:E18)</f>
        <v>25137</v>
      </c>
      <c r="F19" s="11">
        <f>F14-SUM(F15:F18)</f>
        <v>35031</v>
      </c>
      <c r="G19" s="11">
        <f t="shared" ref="G19:I19" si="33">G14-SUM(G15:G18)</f>
        <v>15240</v>
      </c>
      <c r="H19" s="11">
        <f t="shared" si="33"/>
        <v>42490</v>
      </c>
      <c r="I19" s="11">
        <f t="shared" si="33"/>
        <v>33584</v>
      </c>
      <c r="J19" s="11">
        <f t="shared" ref="J19" si="34">J14-SUM(J15:J18)</f>
        <v>22511</v>
      </c>
      <c r="K19" s="6"/>
      <c r="L19" s="6"/>
      <c r="M19" s="6"/>
      <c r="N19" s="11">
        <f t="shared" ref="N19" si="35">N14-SUM(N15:N18)</f>
        <v>55248</v>
      </c>
      <c r="O19" s="11">
        <f>O14-SUM(O15:O18)</f>
        <v>33727</v>
      </c>
      <c r="P19" s="11">
        <f t="shared" si="2"/>
        <v>100351</v>
      </c>
      <c r="Q19" s="11">
        <f>Q14-SUM(Q15:Q18)</f>
        <v>34693.389999999985</v>
      </c>
      <c r="R19" s="11">
        <f t="shared" ref="R19:W19" si="36">R14-SUM(R15:R18)</f>
        <v>74716.561250000319</v>
      </c>
      <c r="S19" s="11">
        <f t="shared" si="36"/>
        <v>106587.34011475029</v>
      </c>
      <c r="T19" s="11">
        <f>T14-SUM(T15:T18)</f>
        <v>135204.06389457162</v>
      </c>
      <c r="U19" s="11">
        <f t="shared" si="36"/>
        <v>178151.07643282588</v>
      </c>
      <c r="V19" s="11">
        <f t="shared" si="36"/>
        <v>212294.59652329085</v>
      </c>
      <c r="W19" s="11">
        <f t="shared" si="36"/>
        <v>255829.25577588758</v>
      </c>
    </row>
    <row r="20" spans="2:23" x14ac:dyDescent="0.2">
      <c r="B20" s="3" t="s">
        <v>9</v>
      </c>
      <c r="C20" s="6">
        <v>32556</v>
      </c>
      <c r="D20" s="6">
        <v>45219</v>
      </c>
      <c r="E20" s="6">
        <v>45635</v>
      </c>
      <c r="F20" s="6">
        <v>58627</v>
      </c>
      <c r="G20" s="6">
        <v>36529</v>
      </c>
      <c r="H20" s="6">
        <v>49319</v>
      </c>
      <c r="I20" s="6">
        <v>47077</v>
      </c>
      <c r="J20" s="6">
        <v>59930</v>
      </c>
      <c r="K20" s="6"/>
      <c r="L20" s="6"/>
      <c r="M20" s="6"/>
      <c r="N20" s="6">
        <v>213562</v>
      </c>
      <c r="O20" s="6">
        <v>182114</v>
      </c>
      <c r="P20" s="6">
        <f t="shared" si="2"/>
        <v>186010</v>
      </c>
      <c r="Q20" s="6"/>
      <c r="R20" s="6"/>
      <c r="S20" s="6"/>
      <c r="T20" s="6"/>
      <c r="U20" s="6"/>
      <c r="V20" s="6"/>
      <c r="W20" s="6"/>
    </row>
    <row r="21" spans="2:23" x14ac:dyDescent="0.2">
      <c r="B21" s="3" t="s">
        <v>10</v>
      </c>
      <c r="C21" s="6">
        <v>-1918</v>
      </c>
      <c r="D21" s="6">
        <v>-1380</v>
      </c>
      <c r="E21" s="6">
        <v>-748</v>
      </c>
      <c r="F21" s="6">
        <v>-763</v>
      </c>
      <c r="G21" s="6">
        <v>-2974</v>
      </c>
      <c r="H21" s="6">
        <v>-420</v>
      </c>
      <c r="I21" s="6">
        <v>-384</v>
      </c>
      <c r="J21" s="6">
        <v>-3146</v>
      </c>
      <c r="K21" s="6"/>
      <c r="L21" s="6"/>
      <c r="M21" s="6"/>
      <c r="N21" s="6">
        <v>-4932</v>
      </c>
      <c r="O21" s="6">
        <v>-8991</v>
      </c>
      <c r="P21" s="6">
        <f t="shared" si="2"/>
        <v>-5865</v>
      </c>
      <c r="Q21" s="6"/>
      <c r="R21" s="6"/>
      <c r="S21" s="6"/>
      <c r="T21" s="6"/>
      <c r="U21" s="6"/>
      <c r="V21" s="6"/>
      <c r="W21" s="6"/>
    </row>
    <row r="22" spans="2:23" x14ac:dyDescent="0.2">
      <c r="B22" s="3" t="s">
        <v>11</v>
      </c>
      <c r="C22" s="6">
        <v>-6588</v>
      </c>
      <c r="D22" s="6">
        <v>-2834</v>
      </c>
      <c r="E22" s="6">
        <v>-3328</v>
      </c>
      <c r="F22" s="6">
        <v>-3137</v>
      </c>
      <c r="G22" s="6">
        <v>-6599</v>
      </c>
      <c r="H22" s="6">
        <v>-1982</v>
      </c>
      <c r="I22" s="6">
        <v>-2564</v>
      </c>
      <c r="J22" s="6">
        <v>-2068</v>
      </c>
      <c r="K22" s="6"/>
      <c r="L22" s="6"/>
      <c r="M22" s="6"/>
      <c r="N22" s="6">
        <v>-16276</v>
      </c>
      <c r="O22" s="6">
        <v>-21775</v>
      </c>
      <c r="P22" s="6">
        <f t="shared" si="2"/>
        <v>-15898</v>
      </c>
      <c r="Q22" s="6"/>
      <c r="R22" s="6"/>
      <c r="S22" s="6"/>
      <c r="T22" s="6"/>
      <c r="U22" s="6"/>
      <c r="V22" s="6"/>
      <c r="W22" s="6"/>
    </row>
    <row r="23" spans="2:23" x14ac:dyDescent="0.2">
      <c r="B23" s="3" t="s">
        <v>12</v>
      </c>
      <c r="C23" s="6">
        <v>-1081</v>
      </c>
      <c r="D23" s="6">
        <v>-185</v>
      </c>
      <c r="E23" s="6">
        <v>125</v>
      </c>
      <c r="F23" s="6">
        <v>-12</v>
      </c>
      <c r="G23" s="6">
        <v>-1167</v>
      </c>
      <c r="H23" s="6">
        <v>877</v>
      </c>
      <c r="I23" s="6">
        <v>906</v>
      </c>
      <c r="J23" s="6">
        <v>961</v>
      </c>
      <c r="K23" s="6"/>
      <c r="L23" s="6"/>
      <c r="M23" s="6"/>
      <c r="N23" s="6">
        <v>-813</v>
      </c>
      <c r="O23" s="6">
        <v>-1465</v>
      </c>
      <c r="P23" s="6">
        <f t="shared" si="2"/>
        <v>-1239</v>
      </c>
      <c r="Q23" s="6"/>
      <c r="R23" s="6"/>
      <c r="S23" s="6"/>
      <c r="T23" s="6"/>
      <c r="U23" s="6"/>
      <c r="V23" s="6"/>
      <c r="W23" s="6"/>
    </row>
    <row r="24" spans="2:23" x14ac:dyDescent="0.2">
      <c r="B24" s="3" t="s">
        <v>13</v>
      </c>
      <c r="C24" s="6">
        <v>598</v>
      </c>
      <c r="D24" s="6">
        <v>188</v>
      </c>
      <c r="E24" s="6">
        <v>981</v>
      </c>
      <c r="F24" s="6">
        <v>356</v>
      </c>
      <c r="G24" s="6">
        <v>-910</v>
      </c>
      <c r="H24" s="6">
        <v>387</v>
      </c>
      <c r="I24" s="6">
        <v>1409</v>
      </c>
      <c r="J24" s="6">
        <v>2364</v>
      </c>
      <c r="K24" s="6"/>
      <c r="L24" s="6"/>
      <c r="M24" s="6"/>
      <c r="N24" s="6">
        <v>-2251</v>
      </c>
      <c r="O24" s="6">
        <v>1146</v>
      </c>
      <c r="P24" s="6">
        <f t="shared" si="2"/>
        <v>615</v>
      </c>
      <c r="Q24" s="6"/>
      <c r="R24" s="6"/>
      <c r="S24" s="6"/>
      <c r="T24" s="6"/>
      <c r="U24" s="6"/>
      <c r="V24" s="6"/>
      <c r="W24" s="6"/>
    </row>
    <row r="25" spans="2:23" x14ac:dyDescent="0.2">
      <c r="B25" s="3" t="s">
        <v>14</v>
      </c>
      <c r="C25" s="6">
        <v>-2170</v>
      </c>
      <c r="D25" s="6">
        <v>-907</v>
      </c>
      <c r="E25" s="6">
        <v>-362</v>
      </c>
      <c r="F25" s="6">
        <v>-25</v>
      </c>
      <c r="G25" s="6">
        <v>-1702</v>
      </c>
      <c r="H25" s="6">
        <v>63</v>
      </c>
      <c r="I25" s="6">
        <v>-201</v>
      </c>
      <c r="J25" s="6">
        <v>-517</v>
      </c>
      <c r="K25" s="6"/>
      <c r="L25" s="6"/>
      <c r="M25" s="6"/>
      <c r="N25" s="6">
        <v>-6118</v>
      </c>
      <c r="O25" s="6">
        <v>-4690</v>
      </c>
      <c r="P25" s="6">
        <f t="shared" si="2"/>
        <v>-2996</v>
      </c>
      <c r="Q25" s="6"/>
      <c r="R25" s="6"/>
      <c r="S25" s="6"/>
      <c r="T25" s="6"/>
      <c r="U25" s="6"/>
      <c r="V25" s="6"/>
      <c r="W25" s="6"/>
    </row>
    <row r="26" spans="2:23" x14ac:dyDescent="0.2">
      <c r="B26" s="3" t="s">
        <v>15</v>
      </c>
      <c r="C26" s="6">
        <v>-2727</v>
      </c>
      <c r="D26" s="6">
        <v>-2275</v>
      </c>
      <c r="E26" s="6">
        <v>-2884</v>
      </c>
      <c r="F26" s="6">
        <v>-1235</v>
      </c>
      <c r="G26" s="6">
        <v>-2437</v>
      </c>
      <c r="H26" s="6">
        <v>-166</v>
      </c>
      <c r="I26" s="6">
        <v>-1437</v>
      </c>
      <c r="J26" s="6">
        <v>-3172</v>
      </c>
      <c r="K26" s="6"/>
      <c r="L26" s="6"/>
      <c r="M26" s="6"/>
      <c r="N26" s="6">
        <v>-5201</v>
      </c>
      <c r="O26" s="6">
        <v>-7129</v>
      </c>
      <c r="P26" s="6">
        <f t="shared" si="2"/>
        <v>-8831</v>
      </c>
      <c r="Q26" s="6"/>
      <c r="R26" s="6"/>
      <c r="S26" s="6"/>
      <c r="T26" s="6"/>
      <c r="U26" s="6"/>
      <c r="V26" s="6"/>
      <c r="W26" s="6"/>
    </row>
    <row r="27" spans="2:23" x14ac:dyDescent="0.2">
      <c r="B27" s="3" t="s">
        <v>20</v>
      </c>
      <c r="C27" s="6">
        <v>-3737</v>
      </c>
      <c r="D27" s="6">
        <v>-6725</v>
      </c>
      <c r="E27" s="6">
        <v>-7787</v>
      </c>
      <c r="F27" s="6">
        <v>-8773</v>
      </c>
      <c r="G27" s="6">
        <v>1099</v>
      </c>
      <c r="H27" s="6">
        <v>1629</v>
      </c>
      <c r="I27" s="6">
        <v>-6830</v>
      </c>
      <c r="J27" s="6">
        <v>-6222</v>
      </c>
      <c r="K27" s="6"/>
      <c r="L27" s="6"/>
      <c r="M27" s="6"/>
      <c r="N27" s="6">
        <v>-50120</v>
      </c>
      <c r="O27" s="6">
        <v>-23971</v>
      </c>
      <c r="P27" s="6">
        <f t="shared" si="2"/>
        <v>-22186</v>
      </c>
      <c r="Q27" s="6"/>
      <c r="R27" s="6"/>
      <c r="S27" s="6"/>
      <c r="T27" s="6"/>
      <c r="U27" s="6"/>
      <c r="V27" s="6"/>
      <c r="W27" s="6"/>
    </row>
    <row r="28" spans="2:23" x14ac:dyDescent="0.2">
      <c r="B28" s="3" t="s">
        <v>42</v>
      </c>
      <c r="C28" s="6">
        <v>2831</v>
      </c>
      <c r="D28" s="6">
        <v>-2751</v>
      </c>
      <c r="E28" s="6">
        <v>-2729</v>
      </c>
      <c r="F28" s="6">
        <f>-(5530+2714)</f>
        <v>-8244</v>
      </c>
      <c r="G28" s="6">
        <v>363</v>
      </c>
      <c r="H28" s="6">
        <f>-2479-2031</f>
        <v>-4510</v>
      </c>
      <c r="I28" s="6">
        <v>-2431</v>
      </c>
      <c r="J28" s="6">
        <f>-J18</f>
        <v>-23091</v>
      </c>
      <c r="K28" s="6"/>
      <c r="L28" s="6"/>
      <c r="M28" s="6"/>
      <c r="N28" s="6">
        <v>-12427</v>
      </c>
      <c r="O28" s="6">
        <f>-11647-25141</f>
        <v>-36788</v>
      </c>
      <c r="P28" s="6">
        <f t="shared" si="2"/>
        <v>-13361</v>
      </c>
      <c r="Q28" s="6"/>
      <c r="R28" s="6"/>
      <c r="S28" s="6"/>
      <c r="T28" s="6"/>
      <c r="U28" s="6"/>
      <c r="V28" s="6"/>
      <c r="W28" s="6"/>
    </row>
    <row r="29" spans="2:23" x14ac:dyDescent="0.2">
      <c r="B29" s="5" t="str">
        <f>B19</f>
        <v>Operating Income</v>
      </c>
      <c r="C29" s="11">
        <f t="shared" ref="C29:I29" si="37">C19</f>
        <v>16717</v>
      </c>
      <c r="D29" s="11">
        <f t="shared" si="37"/>
        <v>24943</v>
      </c>
      <c r="E29" s="11">
        <f t="shared" si="37"/>
        <v>25137</v>
      </c>
      <c r="F29" s="11">
        <f>F19</f>
        <v>35031</v>
      </c>
      <c r="G29" s="11">
        <f>G19</f>
        <v>15240</v>
      </c>
      <c r="H29" s="11">
        <f t="shared" si="37"/>
        <v>42490</v>
      </c>
      <c r="I29" s="11">
        <f t="shared" si="37"/>
        <v>33584</v>
      </c>
      <c r="J29" s="11">
        <f t="shared" ref="J29" si="38">J19</f>
        <v>22511</v>
      </c>
      <c r="K29" s="6"/>
      <c r="L29" s="6"/>
      <c r="M29" s="6"/>
      <c r="N29" s="11">
        <f t="shared" ref="N29" si="39">N19</f>
        <v>55248</v>
      </c>
      <c r="O29" s="11">
        <f>O19</f>
        <v>33727</v>
      </c>
      <c r="P29" s="11">
        <f t="shared" si="2"/>
        <v>100351</v>
      </c>
      <c r="Q29" s="11">
        <f t="shared" ref="Q29:W29" si="40">Q19</f>
        <v>34693.389999999985</v>
      </c>
      <c r="R29" s="11">
        <f t="shared" si="40"/>
        <v>74716.561250000319</v>
      </c>
      <c r="S29" s="11">
        <f t="shared" si="40"/>
        <v>106587.34011475029</v>
      </c>
      <c r="T29" s="11">
        <f t="shared" si="40"/>
        <v>135204.06389457162</v>
      </c>
      <c r="U29" s="11">
        <f t="shared" si="40"/>
        <v>178151.07643282588</v>
      </c>
      <c r="V29" s="11">
        <f t="shared" si="40"/>
        <v>212294.59652329085</v>
      </c>
      <c r="W29" s="11">
        <f t="shared" si="40"/>
        <v>255829.25577588758</v>
      </c>
    </row>
    <row r="30" spans="2:23" x14ac:dyDescent="0.2">
      <c r="B30" s="3" t="s">
        <v>29</v>
      </c>
      <c r="C30" s="6">
        <v>-36708</v>
      </c>
      <c r="D30" s="6">
        <v>5369</v>
      </c>
      <c r="E30" s="6">
        <v>-42452</v>
      </c>
      <c r="F30" s="6">
        <f>15516-1550</f>
        <v>13966</v>
      </c>
      <c r="G30" s="6">
        <v>10496</v>
      </c>
      <c r="H30" s="6">
        <v>-5898</v>
      </c>
      <c r="I30" s="6">
        <v>5136</v>
      </c>
      <c r="J30" s="6">
        <f>-3500-2132</f>
        <v>-5632</v>
      </c>
      <c r="K30" s="6"/>
      <c r="L30" s="6"/>
      <c r="M30" s="6"/>
      <c r="N30" s="6">
        <v>72794</v>
      </c>
      <c r="O30" s="6">
        <v>15702</v>
      </c>
      <c r="P30" s="6">
        <f t="shared" si="2"/>
        <v>-12621</v>
      </c>
      <c r="Q30" s="6">
        <f>P64*$Z$5</f>
        <v>2079.3250000000003</v>
      </c>
      <c r="R30" s="6">
        <f t="shared" ref="R30:W30" si="41">Q64*$Z$5</f>
        <v>2131.308125</v>
      </c>
      <c r="S30" s="6">
        <f t="shared" si="41"/>
        <v>2184.5908281249999</v>
      </c>
      <c r="T30" s="6">
        <f t="shared" si="41"/>
        <v>2239.2055988281249</v>
      </c>
      <c r="U30" s="6">
        <f t="shared" si="41"/>
        <v>2295.185738798828</v>
      </c>
      <c r="V30" s="6">
        <f t="shared" si="41"/>
        <v>2352.5653822687987</v>
      </c>
      <c r="W30" s="6">
        <f t="shared" si="41"/>
        <v>2411.3795168255187</v>
      </c>
    </row>
    <row r="31" spans="2:23" x14ac:dyDescent="0.2">
      <c r="B31" s="3" t="s">
        <v>30</v>
      </c>
      <c r="C31" s="6">
        <v>1620</v>
      </c>
      <c r="D31" s="6">
        <v>109</v>
      </c>
      <c r="E31" s="6">
        <v>2944</v>
      </c>
      <c r="F31" s="6">
        <v>1462</v>
      </c>
      <c r="G31" s="6">
        <v>1308</v>
      </c>
      <c r="H31" s="6">
        <v>1364</v>
      </c>
      <c r="I31" s="6">
        <v>1391</v>
      </c>
      <c r="J31" s="6">
        <v>439</v>
      </c>
      <c r="K31" s="6"/>
      <c r="L31" s="6"/>
      <c r="M31" s="6"/>
      <c r="N31" s="6">
        <v>7582</v>
      </c>
      <c r="O31" s="6">
        <v>10523</v>
      </c>
      <c r="P31" s="6">
        <f t="shared" si="2"/>
        <v>5823</v>
      </c>
      <c r="Q31" s="6">
        <f>P31</f>
        <v>5823</v>
      </c>
      <c r="R31" s="6">
        <f t="shared" ref="R31:W31" si="42">Q31</f>
        <v>5823</v>
      </c>
      <c r="S31" s="6">
        <f t="shared" si="42"/>
        <v>5823</v>
      </c>
      <c r="T31" s="6">
        <f t="shared" si="42"/>
        <v>5823</v>
      </c>
      <c r="U31" s="6">
        <f t="shared" si="42"/>
        <v>5823</v>
      </c>
      <c r="V31" s="6">
        <f t="shared" si="42"/>
        <v>5823</v>
      </c>
      <c r="W31" s="6">
        <f t="shared" si="42"/>
        <v>5823</v>
      </c>
    </row>
    <row r="32" spans="2:23" x14ac:dyDescent="0.2">
      <c r="B32" s="5" t="s">
        <v>31</v>
      </c>
      <c r="C32" s="11">
        <f t="shared" ref="C32" si="43">C29+C30+C31</f>
        <v>-18371</v>
      </c>
      <c r="D32" s="11">
        <f t="shared" ref="D32" si="44">D29+D30+D31</f>
        <v>30421</v>
      </c>
      <c r="E32" s="11">
        <f>E29+E30+E31</f>
        <v>-14371</v>
      </c>
      <c r="F32" s="11">
        <f>F29+F30+F31</f>
        <v>50459</v>
      </c>
      <c r="G32" s="11">
        <f t="shared" ref="G32:I32" si="45">G29+G30+G31</f>
        <v>27044</v>
      </c>
      <c r="H32" s="11">
        <f t="shared" si="45"/>
        <v>37956</v>
      </c>
      <c r="I32" s="11">
        <f t="shared" si="45"/>
        <v>40111</v>
      </c>
      <c r="J32" s="11">
        <f t="shared" ref="J32" si="46">J29+J30+J31</f>
        <v>17318</v>
      </c>
      <c r="K32" s="6"/>
      <c r="L32" s="6"/>
      <c r="M32" s="6"/>
      <c r="N32" s="6">
        <f>N29+N30+N31</f>
        <v>135624</v>
      </c>
      <c r="O32" s="6">
        <f t="shared" ref="O32" si="47">O29+O30+O31</f>
        <v>59952</v>
      </c>
      <c r="P32" s="6">
        <f t="shared" si="2"/>
        <v>93553</v>
      </c>
      <c r="Q32" s="6">
        <f t="shared" ref="Q32" si="48">Q29+Q30+Q31</f>
        <v>42595.714999999982</v>
      </c>
      <c r="R32" s="6">
        <f t="shared" ref="R32" si="49">R29+R30+R31</f>
        <v>82670.869375000315</v>
      </c>
      <c r="S32" s="6">
        <f t="shared" ref="S32" si="50">S29+S30+S31</f>
        <v>114594.93094287529</v>
      </c>
      <c r="T32" s="6">
        <f t="shared" ref="T32" si="51">T29+T30+T31</f>
        <v>143266.26949339974</v>
      </c>
      <c r="U32" s="6">
        <f t="shared" ref="U32" si="52">U29+U30+U31</f>
        <v>186269.26217162472</v>
      </c>
      <c r="V32" s="6">
        <f t="shared" ref="V32" si="53">V29+V30+V31</f>
        <v>220470.16190555965</v>
      </c>
      <c r="W32" s="6">
        <f t="shared" ref="W32" si="54">W29+W30+W31</f>
        <v>264063.63529271306</v>
      </c>
    </row>
    <row r="33" spans="2:124" x14ac:dyDescent="0.2">
      <c r="B33" s="3" t="s">
        <v>32</v>
      </c>
      <c r="C33" s="6">
        <v>-2079</v>
      </c>
      <c r="D33" s="6">
        <v>-5399</v>
      </c>
      <c r="E33" s="6">
        <v>-2572</v>
      </c>
      <c r="F33" s="6">
        <v>-3820</v>
      </c>
      <c r="G33" s="6">
        <v>-3758</v>
      </c>
      <c r="H33" s="6">
        <v>-6022</v>
      </c>
      <c r="I33" s="6">
        <v>-5797</v>
      </c>
      <c r="J33" s="6">
        <f>-4988-1613</f>
        <v>-6601</v>
      </c>
      <c r="K33" s="6"/>
      <c r="L33" s="6"/>
      <c r="M33" s="6"/>
      <c r="N33" s="6">
        <v>-29278</v>
      </c>
      <c r="O33" s="6">
        <v>-26815</v>
      </c>
      <c r="P33" s="6">
        <f t="shared" si="2"/>
        <v>-15549</v>
      </c>
      <c r="Q33" s="6">
        <f>-Q32*0.21</f>
        <v>-8945.1001499999966</v>
      </c>
      <c r="R33" s="6">
        <f t="shared" ref="R33:W33" si="55">-R32*0.21</f>
        <v>-17360.882568750065</v>
      </c>
      <c r="S33" s="6">
        <f t="shared" si="55"/>
        <v>-24064.935498003812</v>
      </c>
      <c r="T33" s="6">
        <f t="shared" si="55"/>
        <v>-30085.916593613943</v>
      </c>
      <c r="U33" s="6">
        <f t="shared" si="55"/>
        <v>-39116.545056041192</v>
      </c>
      <c r="V33" s="6">
        <f t="shared" si="55"/>
        <v>-46298.734000167526</v>
      </c>
      <c r="W33" s="6">
        <f t="shared" si="55"/>
        <v>-55453.363411469742</v>
      </c>
    </row>
    <row r="34" spans="2:124" x14ac:dyDescent="0.2">
      <c r="B34" s="3" t="s">
        <v>33</v>
      </c>
      <c r="C34" s="6">
        <f t="shared" ref="C34" si="56">C32+C33</f>
        <v>-20450</v>
      </c>
      <c r="D34" s="6">
        <f t="shared" ref="D34" si="57">D32+D33</f>
        <v>25022</v>
      </c>
      <c r="E34" s="6">
        <f>E32+E33</f>
        <v>-16943</v>
      </c>
      <c r="F34" s="6">
        <f>F32+F33-893</f>
        <v>45746</v>
      </c>
      <c r="G34" s="6">
        <f t="shared" ref="G34:I34" si="58">G32+G33</f>
        <v>23286</v>
      </c>
      <c r="H34" s="6">
        <f t="shared" si="58"/>
        <v>31934</v>
      </c>
      <c r="I34" s="6">
        <f t="shared" si="58"/>
        <v>34314</v>
      </c>
      <c r="J34" s="6">
        <f>J32+J33</f>
        <v>10717</v>
      </c>
      <c r="K34" s="6"/>
      <c r="L34" s="6"/>
      <c r="M34" s="6"/>
      <c r="N34" s="6">
        <f t="shared" ref="N34" si="59">N32+N33</f>
        <v>106346</v>
      </c>
      <c r="O34" s="6">
        <f>O32+O33</f>
        <v>33137</v>
      </c>
      <c r="P34" s="6">
        <f t="shared" si="2"/>
        <v>77111</v>
      </c>
      <c r="Q34" s="6">
        <f t="shared" ref="Q34:W34" si="60">Q32+Q33</f>
        <v>33650.614849999984</v>
      </c>
      <c r="R34" s="6">
        <f t="shared" si="60"/>
        <v>65309.98680625025</v>
      </c>
      <c r="S34" s="6">
        <f t="shared" si="60"/>
        <v>90529.995444871485</v>
      </c>
      <c r="T34" s="6">
        <f t="shared" si="60"/>
        <v>113180.35289978579</v>
      </c>
      <c r="U34" s="6">
        <f t="shared" si="60"/>
        <v>147152.71711558354</v>
      </c>
      <c r="V34" s="6">
        <f t="shared" si="60"/>
        <v>174171.42790539213</v>
      </c>
      <c r="W34" s="6">
        <f t="shared" si="60"/>
        <v>208610.27188124333</v>
      </c>
      <c r="X34" s="6">
        <f>W34*(1+Z4)</f>
        <v>206524.16916243089</v>
      </c>
      <c r="Y34" s="6">
        <f t="shared" ref="Y34:CJ34" si="61">X34*(1+AA4)</f>
        <v>206524.16916243089</v>
      </c>
      <c r="Z34" s="6">
        <f t="shared" si="61"/>
        <v>206524.16916243089</v>
      </c>
      <c r="AA34" s="6">
        <f t="shared" si="61"/>
        <v>206524.16916243089</v>
      </c>
      <c r="AB34" s="6">
        <f t="shared" si="61"/>
        <v>206524.16916243089</v>
      </c>
      <c r="AC34" s="6">
        <f t="shared" si="61"/>
        <v>206524.16916243089</v>
      </c>
      <c r="AD34" s="6">
        <f t="shared" si="61"/>
        <v>206524.16916243089</v>
      </c>
      <c r="AE34" s="6">
        <f t="shared" si="61"/>
        <v>206524.16916243089</v>
      </c>
      <c r="AF34" s="6">
        <f t="shared" si="61"/>
        <v>206524.16916243089</v>
      </c>
      <c r="AG34" s="6">
        <f t="shared" si="61"/>
        <v>206524.16916243089</v>
      </c>
      <c r="AH34" s="6">
        <f t="shared" si="61"/>
        <v>206524.16916243089</v>
      </c>
      <c r="AI34" s="6">
        <f t="shared" si="61"/>
        <v>206524.16916243089</v>
      </c>
      <c r="AJ34" s="6">
        <f t="shared" si="61"/>
        <v>206524.16916243089</v>
      </c>
      <c r="AK34" s="6">
        <f t="shared" si="61"/>
        <v>206524.16916243089</v>
      </c>
      <c r="AL34" s="6">
        <f t="shared" si="61"/>
        <v>206524.16916243089</v>
      </c>
      <c r="AM34" s="6">
        <f t="shared" si="61"/>
        <v>206524.16916243089</v>
      </c>
      <c r="AN34" s="6">
        <f t="shared" si="61"/>
        <v>206524.16916243089</v>
      </c>
      <c r="AO34" s="6">
        <f t="shared" si="61"/>
        <v>206524.16916243089</v>
      </c>
      <c r="AP34" s="6">
        <f t="shared" si="61"/>
        <v>206524.16916243089</v>
      </c>
      <c r="AQ34" s="6">
        <f t="shared" si="61"/>
        <v>206524.16916243089</v>
      </c>
      <c r="AR34" s="6">
        <f t="shared" si="61"/>
        <v>206524.16916243089</v>
      </c>
      <c r="AS34" s="6">
        <f t="shared" si="61"/>
        <v>206524.16916243089</v>
      </c>
      <c r="AT34" s="6">
        <f t="shared" si="61"/>
        <v>206524.16916243089</v>
      </c>
      <c r="AU34" s="6">
        <f t="shared" si="61"/>
        <v>206524.16916243089</v>
      </c>
      <c r="AV34" s="6">
        <f t="shared" si="61"/>
        <v>206524.16916243089</v>
      </c>
      <c r="AW34" s="6">
        <f t="shared" si="61"/>
        <v>206524.16916243089</v>
      </c>
      <c r="AX34" s="6">
        <f t="shared" si="61"/>
        <v>206524.16916243089</v>
      </c>
      <c r="AY34" s="6">
        <f t="shared" si="61"/>
        <v>206524.16916243089</v>
      </c>
      <c r="AZ34" s="6">
        <f t="shared" si="61"/>
        <v>206524.16916243089</v>
      </c>
      <c r="BA34" s="6">
        <f t="shared" si="61"/>
        <v>206524.16916243089</v>
      </c>
      <c r="BB34" s="6">
        <f t="shared" si="61"/>
        <v>206524.16916243089</v>
      </c>
      <c r="BC34" s="6">
        <f t="shared" si="61"/>
        <v>206524.16916243089</v>
      </c>
      <c r="BD34" s="6">
        <f t="shared" si="61"/>
        <v>206524.16916243089</v>
      </c>
      <c r="BE34" s="6">
        <f t="shared" si="61"/>
        <v>206524.16916243089</v>
      </c>
      <c r="BF34" s="6">
        <f t="shared" si="61"/>
        <v>206524.16916243089</v>
      </c>
      <c r="BG34" s="6">
        <f t="shared" si="61"/>
        <v>206524.16916243089</v>
      </c>
      <c r="BH34" s="6">
        <f t="shared" si="61"/>
        <v>206524.16916243089</v>
      </c>
      <c r="BI34" s="6">
        <f t="shared" si="61"/>
        <v>206524.16916243089</v>
      </c>
      <c r="BJ34" s="6">
        <f t="shared" si="61"/>
        <v>206524.16916243089</v>
      </c>
      <c r="BK34" s="6">
        <f t="shared" si="61"/>
        <v>206524.16916243089</v>
      </c>
      <c r="BL34" s="6">
        <f t="shared" si="61"/>
        <v>206524.16916243089</v>
      </c>
      <c r="BM34" s="6">
        <f t="shared" si="61"/>
        <v>206524.16916243089</v>
      </c>
      <c r="BN34" s="6">
        <f t="shared" si="61"/>
        <v>206524.16916243089</v>
      </c>
      <c r="BO34" s="6">
        <f t="shared" si="61"/>
        <v>206524.16916243089</v>
      </c>
      <c r="BP34" s="6">
        <f t="shared" si="61"/>
        <v>206524.16916243089</v>
      </c>
      <c r="BQ34" s="6">
        <f t="shared" si="61"/>
        <v>206524.16916243089</v>
      </c>
      <c r="BR34" s="6">
        <f t="shared" si="61"/>
        <v>206524.16916243089</v>
      </c>
      <c r="BS34" s="6">
        <f t="shared" si="61"/>
        <v>206524.16916243089</v>
      </c>
      <c r="BT34" s="6">
        <f t="shared" si="61"/>
        <v>206524.16916243089</v>
      </c>
      <c r="BU34" s="6">
        <f t="shared" si="61"/>
        <v>206524.16916243089</v>
      </c>
      <c r="BV34" s="6">
        <f t="shared" si="61"/>
        <v>206524.16916243089</v>
      </c>
      <c r="BW34" s="6">
        <f t="shared" si="61"/>
        <v>206524.16916243089</v>
      </c>
      <c r="BX34" s="6">
        <f t="shared" si="61"/>
        <v>206524.16916243089</v>
      </c>
      <c r="BY34" s="6">
        <f t="shared" si="61"/>
        <v>206524.16916243089</v>
      </c>
      <c r="BZ34" s="6">
        <f t="shared" si="61"/>
        <v>206524.16916243089</v>
      </c>
      <c r="CA34" s="6">
        <f t="shared" si="61"/>
        <v>206524.16916243089</v>
      </c>
      <c r="CB34" s="6">
        <f t="shared" si="61"/>
        <v>206524.16916243089</v>
      </c>
      <c r="CC34" s="6">
        <f t="shared" si="61"/>
        <v>206524.16916243089</v>
      </c>
      <c r="CD34" s="6">
        <f t="shared" si="61"/>
        <v>206524.16916243089</v>
      </c>
      <c r="CE34" s="6">
        <f t="shared" si="61"/>
        <v>206524.16916243089</v>
      </c>
      <c r="CF34" s="6">
        <f t="shared" si="61"/>
        <v>206524.16916243089</v>
      </c>
      <c r="CG34" s="6">
        <f t="shared" si="61"/>
        <v>206524.16916243089</v>
      </c>
      <c r="CH34" s="6">
        <f t="shared" si="61"/>
        <v>206524.16916243089</v>
      </c>
      <c r="CI34" s="6">
        <f t="shared" si="61"/>
        <v>206524.16916243089</v>
      </c>
      <c r="CJ34" s="6">
        <f t="shared" si="61"/>
        <v>206524.16916243089</v>
      </c>
      <c r="CK34" s="6">
        <f t="shared" ref="CK34:DT34" si="62">CJ34*(1+CM4)</f>
        <v>206524.16916243089</v>
      </c>
      <c r="CL34" s="6">
        <f t="shared" si="62"/>
        <v>206524.16916243089</v>
      </c>
      <c r="CM34" s="6">
        <f t="shared" si="62"/>
        <v>206524.16916243089</v>
      </c>
      <c r="CN34" s="6">
        <f t="shared" si="62"/>
        <v>206524.16916243089</v>
      </c>
      <c r="CO34" s="6">
        <f t="shared" si="62"/>
        <v>206524.16916243089</v>
      </c>
      <c r="CP34" s="6">
        <f t="shared" si="62"/>
        <v>206524.16916243089</v>
      </c>
      <c r="CQ34" s="6">
        <f t="shared" si="62"/>
        <v>206524.16916243089</v>
      </c>
      <c r="CR34" s="6">
        <f t="shared" si="62"/>
        <v>206524.16916243089</v>
      </c>
      <c r="CS34" s="6">
        <f t="shared" si="62"/>
        <v>206524.16916243089</v>
      </c>
      <c r="CT34" s="6">
        <f t="shared" si="62"/>
        <v>206524.16916243089</v>
      </c>
      <c r="CU34" s="6">
        <f t="shared" si="62"/>
        <v>206524.16916243089</v>
      </c>
      <c r="CV34" s="6">
        <f t="shared" si="62"/>
        <v>206524.16916243089</v>
      </c>
      <c r="CW34" s="6">
        <f t="shared" si="62"/>
        <v>206524.16916243089</v>
      </c>
      <c r="CX34" s="6">
        <f t="shared" si="62"/>
        <v>206524.16916243089</v>
      </c>
      <c r="CY34" s="6">
        <f t="shared" si="62"/>
        <v>206524.16916243089</v>
      </c>
      <c r="CZ34" s="6">
        <f t="shared" si="62"/>
        <v>206524.16916243089</v>
      </c>
      <c r="DA34" s="6">
        <f t="shared" si="62"/>
        <v>206524.16916243089</v>
      </c>
      <c r="DB34" s="6">
        <f t="shared" si="62"/>
        <v>206524.16916243089</v>
      </c>
      <c r="DC34" s="6">
        <f t="shared" si="62"/>
        <v>206524.16916243089</v>
      </c>
      <c r="DD34" s="6">
        <f t="shared" si="62"/>
        <v>206524.16916243089</v>
      </c>
      <c r="DE34" s="6">
        <f t="shared" si="62"/>
        <v>206524.16916243089</v>
      </c>
      <c r="DF34" s="6">
        <f t="shared" si="62"/>
        <v>206524.16916243089</v>
      </c>
      <c r="DG34" s="6">
        <f t="shared" si="62"/>
        <v>206524.16916243089</v>
      </c>
      <c r="DH34" s="6">
        <f t="shared" si="62"/>
        <v>206524.16916243089</v>
      </c>
      <c r="DI34" s="6">
        <f t="shared" si="62"/>
        <v>206524.16916243089</v>
      </c>
      <c r="DJ34" s="6">
        <f t="shared" si="62"/>
        <v>206524.16916243089</v>
      </c>
      <c r="DK34" s="6">
        <f t="shared" si="62"/>
        <v>206524.16916243089</v>
      </c>
      <c r="DL34" s="6">
        <f t="shared" si="62"/>
        <v>206524.16916243089</v>
      </c>
      <c r="DM34" s="6">
        <f t="shared" si="62"/>
        <v>206524.16916243089</v>
      </c>
      <c r="DN34" s="6">
        <f t="shared" si="62"/>
        <v>206524.16916243089</v>
      </c>
      <c r="DO34" s="6">
        <f t="shared" si="62"/>
        <v>206524.16916243089</v>
      </c>
      <c r="DP34" s="6">
        <f t="shared" si="62"/>
        <v>206524.16916243089</v>
      </c>
      <c r="DQ34" s="6">
        <f t="shared" si="62"/>
        <v>206524.16916243089</v>
      </c>
      <c r="DR34" s="6">
        <f t="shared" si="62"/>
        <v>206524.16916243089</v>
      </c>
      <c r="DS34" s="6">
        <f t="shared" si="62"/>
        <v>206524.16916243089</v>
      </c>
      <c r="DT34" s="6">
        <f t="shared" si="62"/>
        <v>206524.16916243089</v>
      </c>
    </row>
    <row r="35" spans="2:124" x14ac:dyDescent="0.2">
      <c r="B35" s="3" t="s">
        <v>36</v>
      </c>
      <c r="C35" s="6">
        <v>3282</v>
      </c>
      <c r="D35" s="6">
        <v>-3480</v>
      </c>
      <c r="E35" s="6">
        <v>-4136</v>
      </c>
      <c r="F35" s="6">
        <f>1167-98</f>
        <v>1069</v>
      </c>
      <c r="G35" s="6">
        <v>446</v>
      </c>
      <c r="H35" s="6">
        <v>2850</v>
      </c>
      <c r="I35" s="6">
        <v>-5764</v>
      </c>
      <c r="J35" s="6">
        <v>3838</v>
      </c>
      <c r="K35" s="6"/>
      <c r="L35" s="6"/>
      <c r="M35" s="6"/>
      <c r="N35" s="6"/>
      <c r="O35" s="6"/>
      <c r="P35" s="6">
        <f t="shared" si="2"/>
        <v>-6101</v>
      </c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</row>
    <row r="36" spans="2:124" x14ac:dyDescent="0.2">
      <c r="B36" s="3" t="s">
        <v>37</v>
      </c>
      <c r="C36" s="6">
        <f t="shared" ref="C36" si="63">C34+C35</f>
        <v>-17168</v>
      </c>
      <c r="D36" s="6">
        <f t="shared" ref="D36:H36" si="64">D34+D35</f>
        <v>21542</v>
      </c>
      <c r="E36" s="6">
        <f t="shared" si="64"/>
        <v>-21079</v>
      </c>
      <c r="F36" s="6">
        <f>F34+F35</f>
        <v>46815</v>
      </c>
      <c r="G36" s="6">
        <f t="shared" si="64"/>
        <v>23732</v>
      </c>
      <c r="H36" s="6">
        <f t="shared" si="64"/>
        <v>34784</v>
      </c>
      <c r="I36" s="6">
        <f>I34+I35</f>
        <v>28550</v>
      </c>
      <c r="J36" s="6">
        <f t="shared" ref="J36" si="65">J34+J35</f>
        <v>14555</v>
      </c>
      <c r="K36" s="6"/>
      <c r="L36" s="6"/>
      <c r="M36" s="6"/>
      <c r="N36" s="6"/>
      <c r="O36" s="6"/>
      <c r="P36" s="6">
        <f t="shared" si="2"/>
        <v>71010</v>
      </c>
      <c r="Q36" s="6">
        <f>Q34</f>
        <v>33650.614849999984</v>
      </c>
      <c r="R36" s="6">
        <f t="shared" ref="R36:Y36" si="66">R34</f>
        <v>65309.98680625025</v>
      </c>
      <c r="S36" s="6">
        <f t="shared" si="66"/>
        <v>90529.995444871485</v>
      </c>
      <c r="T36" s="6">
        <f t="shared" si="66"/>
        <v>113180.35289978579</v>
      </c>
      <c r="U36" s="6">
        <f t="shared" si="66"/>
        <v>147152.71711558354</v>
      </c>
      <c r="V36" s="6">
        <f t="shared" si="66"/>
        <v>174171.42790539213</v>
      </c>
      <c r="W36" s="6">
        <f t="shared" si="66"/>
        <v>208610.27188124333</v>
      </c>
      <c r="X36" s="6">
        <f t="shared" si="66"/>
        <v>206524.16916243089</v>
      </c>
      <c r="Y36" s="6">
        <f t="shared" si="66"/>
        <v>206524.16916243089</v>
      </c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</row>
    <row r="37" spans="2:124" x14ac:dyDescent="0.2">
      <c r="B37" s="3" t="s">
        <v>59</v>
      </c>
      <c r="C37" s="6">
        <f>C36/$I$46</f>
        <v>-2353.0701754385964</v>
      </c>
      <c r="D37" s="6">
        <f t="shared" ref="D37:I37" si="67">D36/$I$46</f>
        <v>2952.5767543859647</v>
      </c>
      <c r="E37" s="6">
        <f t="shared" si="67"/>
        <v>-2889.1173245614036</v>
      </c>
      <c r="F37" s="6">
        <f t="shared" si="67"/>
        <v>6416.5296052631575</v>
      </c>
      <c r="G37" s="6">
        <f t="shared" si="67"/>
        <v>3252.7412280701751</v>
      </c>
      <c r="H37" s="6">
        <f t="shared" si="67"/>
        <v>4767.5438596491231</v>
      </c>
      <c r="I37" s="6">
        <f t="shared" si="67"/>
        <v>3913.1030701754385</v>
      </c>
      <c r="J37" s="6">
        <f t="shared" ref="J37" si="68">J36/$I$46</f>
        <v>1994.9287280701753</v>
      </c>
      <c r="K37" s="6"/>
      <c r="L37" s="6"/>
      <c r="M37" s="6"/>
      <c r="N37" s="6"/>
      <c r="O37" s="6"/>
      <c r="P37" s="6">
        <f t="shared" ref="P37" si="69">P36/$I$46</f>
        <v>9732.730263157895</v>
      </c>
      <c r="Q37" s="6">
        <f>Q36/$I$46</f>
        <v>4612.2005002741207</v>
      </c>
      <c r="R37" s="6">
        <f t="shared" ref="R37" si="70">R36/$I$46</f>
        <v>8951.478454804037</v>
      </c>
      <c r="S37" s="6">
        <f t="shared" ref="S37" si="71">S36/$I$46</f>
        <v>12408.168235316814</v>
      </c>
      <c r="T37" s="6">
        <f t="shared" ref="T37" si="72">T36/$I$46</f>
        <v>15512.658018062746</v>
      </c>
      <c r="U37" s="6">
        <f t="shared" ref="U37" si="73">U36/$I$46</f>
        <v>20168.957937991163</v>
      </c>
      <c r="V37" s="6">
        <f t="shared" ref="V37" si="74">V36/$I$46</f>
        <v>23872.180359839931</v>
      </c>
      <c r="W37" s="6">
        <f t="shared" ref="W37" si="75">W36/$I$46</f>
        <v>28592.41665038971</v>
      </c>
    </row>
    <row r="38" spans="2:124" x14ac:dyDescent="0.2">
      <c r="B38" s="3" t="s">
        <v>34</v>
      </c>
      <c r="C38" s="3">
        <v>2689.5</v>
      </c>
      <c r="D38" s="3">
        <v>2675.1</v>
      </c>
      <c r="E38" s="3">
        <v>2662.4</v>
      </c>
      <c r="F38" s="3">
        <v>2600.6</v>
      </c>
      <c r="G38" s="3">
        <v>2581.4</v>
      </c>
      <c r="H38" s="3">
        <v>2561.6</v>
      </c>
      <c r="I38" s="3">
        <v>2541.9</v>
      </c>
      <c r="J38" s="3">
        <v>2541.9</v>
      </c>
    </row>
    <row r="39" spans="2:124" x14ac:dyDescent="0.2">
      <c r="B39" s="3" t="s">
        <v>35</v>
      </c>
      <c r="C39" s="12">
        <f t="shared" ref="C39:H39" si="76">C36/C38</f>
        <v>-6.3833426287414019</v>
      </c>
      <c r="D39" s="12">
        <f t="shared" si="76"/>
        <v>8.0527830735299624</v>
      </c>
      <c r="E39" s="12">
        <f t="shared" si="76"/>
        <v>-7.9172926682692308</v>
      </c>
      <c r="F39" s="12">
        <f t="shared" si="76"/>
        <v>18.001615011920325</v>
      </c>
      <c r="G39" s="12">
        <f t="shared" si="76"/>
        <v>9.1934609126830402</v>
      </c>
      <c r="H39" s="12">
        <f t="shared" si="76"/>
        <v>13.579013116801999</v>
      </c>
      <c r="I39" s="12">
        <f>I36/I38</f>
        <v>11.231755773240488</v>
      </c>
      <c r="J39" s="12">
        <f t="shared" ref="J39" si="77">J36/J38</f>
        <v>5.7260317085644594</v>
      </c>
    </row>
    <row r="41" spans="2:124" x14ac:dyDescent="0.2">
      <c r="B41" s="3" t="s">
        <v>38</v>
      </c>
      <c r="C41" s="6">
        <v>-7040</v>
      </c>
      <c r="D41" s="6">
        <v>33869</v>
      </c>
      <c r="E41" s="6">
        <v>47112</v>
      </c>
      <c r="F41" s="6">
        <v>87370</v>
      </c>
      <c r="G41" s="6">
        <v>31401</v>
      </c>
      <c r="H41" s="6">
        <v>45306</v>
      </c>
      <c r="I41" s="6">
        <v>49231</v>
      </c>
      <c r="J41" s="6">
        <v>64716</v>
      </c>
      <c r="K41" s="6"/>
      <c r="L41" s="6"/>
      <c r="M41" s="6"/>
      <c r="N41" s="6">
        <v>89678</v>
      </c>
      <c r="O41" s="6">
        <v>69638</v>
      </c>
      <c r="P41" s="6"/>
    </row>
    <row r="42" spans="2:124" x14ac:dyDescent="0.2">
      <c r="B42" s="3" t="s">
        <v>39</v>
      </c>
      <c r="C42" s="6">
        <f t="shared" ref="C42" si="78">-(C41-C43)</f>
        <v>-8030</v>
      </c>
      <c r="D42" s="6">
        <f t="shared" ref="D42:H42" si="79">-(D41-D43)</f>
        <v>-11696</v>
      </c>
      <c r="E42" s="6">
        <f t="shared" si="79"/>
        <v>-11403</v>
      </c>
      <c r="F42" s="6">
        <f t="shared" si="79"/>
        <v>-5856</v>
      </c>
      <c r="G42" s="6">
        <f t="shared" si="79"/>
        <v>866</v>
      </c>
      <c r="H42" s="6">
        <f t="shared" si="79"/>
        <v>-6217</v>
      </c>
      <c r="I42" s="6">
        <f>-(I41-I43)</f>
        <v>-4011</v>
      </c>
      <c r="J42" s="6">
        <f t="shared" ref="J42" si="80">-(J41-J43)</f>
        <v>-8176</v>
      </c>
      <c r="K42" s="6"/>
      <c r="L42" s="6"/>
      <c r="M42" s="6"/>
      <c r="N42" s="6"/>
      <c r="O42" s="6"/>
      <c r="P42" s="6"/>
    </row>
    <row r="43" spans="2:124" x14ac:dyDescent="0.2">
      <c r="B43" s="3" t="s">
        <v>40</v>
      </c>
      <c r="C43" s="6">
        <v>-15070</v>
      </c>
      <c r="D43" s="6">
        <v>22173</v>
      </c>
      <c r="E43" s="6">
        <v>35709</v>
      </c>
      <c r="F43" s="6">
        <v>81514</v>
      </c>
      <c r="G43" s="6">
        <v>32267</v>
      </c>
      <c r="H43" s="6">
        <v>39089</v>
      </c>
      <c r="I43" s="6">
        <v>45220</v>
      </c>
      <c r="J43" s="6">
        <v>56540</v>
      </c>
      <c r="K43" s="6">
        <f>SUM(G45:J45)</f>
        <v>22874.725877192981</v>
      </c>
      <c r="L43" s="6"/>
      <c r="M43" s="6"/>
      <c r="N43" s="6"/>
      <c r="O43" s="6"/>
      <c r="P43" s="6"/>
    </row>
    <row r="44" spans="2:124" x14ac:dyDescent="0.2">
      <c r="B44" s="3" t="s">
        <v>60</v>
      </c>
      <c r="C44" s="6">
        <f t="shared" ref="C44:I44" si="81">C43+C27</f>
        <v>-18807</v>
      </c>
      <c r="D44" s="6">
        <f t="shared" si="81"/>
        <v>15448</v>
      </c>
      <c r="E44" s="6">
        <f t="shared" si="81"/>
        <v>27922</v>
      </c>
      <c r="F44" s="6">
        <f>F43+F27</f>
        <v>72741</v>
      </c>
      <c r="G44" s="6">
        <f t="shared" si="81"/>
        <v>33366</v>
      </c>
      <c r="H44" s="6">
        <f t="shared" si="81"/>
        <v>40718</v>
      </c>
      <c r="I44" s="6">
        <f t="shared" si="81"/>
        <v>38390</v>
      </c>
      <c r="J44" s="6">
        <f>J43+J27</f>
        <v>50318</v>
      </c>
      <c r="K44" s="13"/>
    </row>
    <row r="45" spans="2:124" x14ac:dyDescent="0.2">
      <c r="B45" s="3" t="s">
        <v>44</v>
      </c>
      <c r="C45" s="6">
        <f t="shared" ref="C45:H45" si="82">C43/$I$46</f>
        <v>-2065.5153508771928</v>
      </c>
      <c r="D45" s="6">
        <f t="shared" si="82"/>
        <v>3039.0625</v>
      </c>
      <c r="E45" s="6">
        <f t="shared" si="82"/>
        <v>4894.3256578947367</v>
      </c>
      <c r="F45" s="6">
        <f>F43/$I$46</f>
        <v>11172.423245614034</v>
      </c>
      <c r="G45" s="6">
        <f t="shared" si="82"/>
        <v>4422.5603070175439</v>
      </c>
      <c r="H45" s="6">
        <f t="shared" si="82"/>
        <v>5357.5932017543855</v>
      </c>
      <c r="I45" s="6">
        <f>I43/$I$46</f>
        <v>6197.9166666666661</v>
      </c>
      <c r="J45" s="6">
        <f>J44/$I$46</f>
        <v>6896.6557017543855</v>
      </c>
      <c r="K45" s="6"/>
      <c r="L45" s="6"/>
      <c r="M45" s="6"/>
      <c r="N45" s="6"/>
      <c r="O45" s="6"/>
      <c r="P45" s="6"/>
    </row>
    <row r="46" spans="2:124" x14ac:dyDescent="0.2">
      <c r="B46" s="3" t="s">
        <v>41</v>
      </c>
      <c r="E46" s="3">
        <v>6.8971999999999998</v>
      </c>
      <c r="I46" s="3">
        <v>7.2960000000000003</v>
      </c>
    </row>
    <row r="48" spans="2:124" x14ac:dyDescent="0.2">
      <c r="B48" s="3" t="s">
        <v>47</v>
      </c>
      <c r="C48" s="14"/>
      <c r="D48" s="14"/>
      <c r="E48" s="14"/>
      <c r="F48" s="14"/>
      <c r="G48" s="14">
        <f t="shared" ref="G48:I48" si="83">G12/C12-1</f>
        <v>2.0328151647619253E-2</v>
      </c>
      <c r="H48" s="14">
        <f t="shared" si="83"/>
        <v>0.13914037605507046</v>
      </c>
      <c r="I48" s="14">
        <f t="shared" si="83"/>
        <v>8.5019500328223252E-2</v>
      </c>
      <c r="J48" s="14">
        <f>J12/F12-1</f>
        <v>5.0824198001259369E-2</v>
      </c>
      <c r="O48" s="15">
        <f t="shared" ref="O48:P48" si="84">O12/N12-1</f>
        <v>0.19666138983304027</v>
      </c>
      <c r="P48" s="15">
        <f t="shared" si="84"/>
        <v>6.306790299467302E-2</v>
      </c>
      <c r="Q48" s="15">
        <f>Q12/P12-1</f>
        <v>-5.8807038668703515E-2</v>
      </c>
      <c r="R48" s="15">
        <f t="shared" ref="R48:W48" si="85">R12/Q12-1</f>
        <v>6.7151444903963409E-2</v>
      </c>
      <c r="S48" s="15">
        <f t="shared" si="85"/>
        <v>5.4036997991286473E-2</v>
      </c>
      <c r="T48" s="15">
        <f t="shared" si="85"/>
        <v>4.8170086029331927E-2</v>
      </c>
      <c r="U48" s="15">
        <f t="shared" si="85"/>
        <v>6.1254029459279824E-2</v>
      </c>
      <c r="V48" s="15">
        <f t="shared" si="85"/>
        <v>4.9529254882112461E-2</v>
      </c>
      <c r="W48" s="15">
        <f t="shared" si="85"/>
        <v>5.634480182031365E-2</v>
      </c>
    </row>
    <row r="49" spans="2:23" x14ac:dyDescent="0.2">
      <c r="B49" s="3" t="s">
        <v>48</v>
      </c>
      <c r="C49" s="14">
        <f t="shared" ref="C49:H49" si="86">C14/C10</f>
        <v>0.31907062905533884</v>
      </c>
      <c r="D49" s="14">
        <f t="shared" si="86"/>
        <v>0.34513837730666741</v>
      </c>
      <c r="E49" s="14">
        <f t="shared" si="86"/>
        <v>0.34242209791344563</v>
      </c>
      <c r="F49" s="14">
        <f t="shared" si="86"/>
        <v>0.39454543986825746</v>
      </c>
      <c r="G49" s="14">
        <f t="shared" si="86"/>
        <v>0.33322286263208456</v>
      </c>
      <c r="H49" s="14">
        <f t="shared" si="86"/>
        <v>0.36615949109617724</v>
      </c>
      <c r="I49" s="14">
        <f>I14/I10</f>
        <v>0.35171527614231235</v>
      </c>
      <c r="J49" s="14">
        <f>J14/J10</f>
        <v>0.3701213075482227</v>
      </c>
      <c r="Q49" s="15">
        <f>Q14/Q12</f>
        <v>0.31086602897504823</v>
      </c>
      <c r="R49" s="15">
        <f t="shared" ref="R49:W49" si="87">R14/R12</f>
        <v>0.33808615105783463</v>
      </c>
      <c r="S49" s="15">
        <f t="shared" si="87"/>
        <v>0.35632079665259714</v>
      </c>
      <c r="T49" s="15">
        <f t="shared" si="87"/>
        <v>0.37054950124513963</v>
      </c>
      <c r="U49" s="15">
        <f t="shared" si="87"/>
        <v>0.39205247441796626</v>
      </c>
      <c r="V49" s="15">
        <f t="shared" si="87"/>
        <v>0.40626122537996429</v>
      </c>
      <c r="W49" s="15">
        <f t="shared" si="87"/>
        <v>0.42387917000508174</v>
      </c>
    </row>
    <row r="50" spans="2:23" x14ac:dyDescent="0.2">
      <c r="B50" s="3" t="s">
        <v>49</v>
      </c>
      <c r="C50" s="14">
        <f t="shared" ref="C50:H50" si="88">C29/C10</f>
        <v>8.192519553839217E-2</v>
      </c>
      <c r="D50" s="14">
        <f t="shared" si="88"/>
        <v>0.11342573645102907</v>
      </c>
      <c r="E50" s="14">
        <f t="shared" si="88"/>
        <v>0.11330679876853175</v>
      </c>
      <c r="F50" s="14">
        <f t="shared" si="88"/>
        <v>0.14139314486833821</v>
      </c>
      <c r="G50" s="14">
        <f t="shared" si="88"/>
        <v>7.3198847262247832E-2</v>
      </c>
      <c r="H50" s="14">
        <f t="shared" si="88"/>
        <v>0.16946178235986201</v>
      </c>
      <c r="I50" s="14">
        <f>I29/I10</f>
        <v>0.13875908458007447</v>
      </c>
      <c r="J50" s="14">
        <f>J29/J10</f>
        <v>8.0010378495189285E-2</v>
      </c>
      <c r="Q50" s="15">
        <f>Q29/Q12</f>
        <v>4.2433098477035434E-2</v>
      </c>
      <c r="R50" s="15">
        <f t="shared" ref="R50:W50" si="89">R29/R12</f>
        <v>8.5634511774481156E-2</v>
      </c>
      <c r="S50" s="15">
        <f t="shared" si="89"/>
        <v>0.11589954190678815</v>
      </c>
      <c r="T50" s="15">
        <f t="shared" si="89"/>
        <v>0.14026007906486246</v>
      </c>
      <c r="U50" s="15">
        <f t="shared" si="89"/>
        <v>0.17414597147497976</v>
      </c>
      <c r="V50" s="15">
        <f t="shared" si="89"/>
        <v>0.19772854616427976</v>
      </c>
      <c r="W50" s="15">
        <f t="shared" si="89"/>
        <v>0.22556667651638815</v>
      </c>
    </row>
    <row r="51" spans="2:23" x14ac:dyDescent="0.2">
      <c r="B51" s="3" t="s">
        <v>57</v>
      </c>
      <c r="N51" s="14">
        <f>-(N33/N32)</f>
        <v>0.2158762460921371</v>
      </c>
      <c r="O51" s="14">
        <f t="shared" ref="O51:P51" si="90">-(O33/O32)</f>
        <v>0.44727448625567118</v>
      </c>
      <c r="P51" s="14">
        <f t="shared" si="90"/>
        <v>0.16620525263754235</v>
      </c>
    </row>
    <row r="52" spans="2:23" x14ac:dyDescent="0.2">
      <c r="B52" s="3" t="s">
        <v>61</v>
      </c>
      <c r="C52" s="15">
        <f>-C27/C12</f>
        <v>1.8313959186873934E-2</v>
      </c>
      <c r="D52" s="15">
        <f t="shared" ref="D52:J52" si="91">-D27/D12</f>
        <v>3.2716304638661188E-2</v>
      </c>
      <c r="E52" s="15">
        <f t="shared" si="91"/>
        <v>3.758639996910839E-2</v>
      </c>
      <c r="F52" s="15">
        <f t="shared" si="91"/>
        <v>3.5409838712281441E-2</v>
      </c>
      <c r="G52" s="15">
        <f t="shared" si="91"/>
        <v>-5.2785782901056677E-3</v>
      </c>
      <c r="H52" s="15">
        <f t="shared" si="91"/>
        <v>-6.9569005278532258E-3</v>
      </c>
      <c r="I52" s="15">
        <f t="shared" si="91"/>
        <v>3.0383913875172384E-2</v>
      </c>
      <c r="J52" s="15">
        <f t="shared" si="91"/>
        <v>2.3898781630740395E-2</v>
      </c>
    </row>
    <row r="53" spans="2:23" x14ac:dyDescent="0.2">
      <c r="B53" s="3" t="s">
        <v>28</v>
      </c>
      <c r="C53" s="3">
        <v>254941</v>
      </c>
      <c r="E53" s="3">
        <v>243903</v>
      </c>
      <c r="F53" s="3">
        <v>239740</v>
      </c>
      <c r="G53" s="3">
        <v>235216</v>
      </c>
      <c r="H53" s="3">
        <v>228675</v>
      </c>
      <c r="I53" s="3">
        <v>224955</v>
      </c>
      <c r="J53" s="3">
        <v>219260</v>
      </c>
    </row>
    <row r="55" spans="2:23" x14ac:dyDescent="0.2">
      <c r="B55" s="3" t="s">
        <v>50</v>
      </c>
    </row>
    <row r="56" spans="2:23" x14ac:dyDescent="0.2">
      <c r="B56" s="3" t="s">
        <v>9</v>
      </c>
      <c r="C56" s="15">
        <f>C3/C$10</f>
        <v>0.68648677788014822</v>
      </c>
      <c r="D56" s="15">
        <f t="shared" ref="D56:I56" si="92">D3/D$10</f>
        <v>0.46618555200858547</v>
      </c>
      <c r="E56" s="15">
        <f t="shared" si="92"/>
        <v>0.4225171174988393</v>
      </c>
      <c r="F56" s="15">
        <f t="shared" si="92"/>
        <v>0.68610245564184114</v>
      </c>
      <c r="G56" s="15">
        <f t="shared" si="92"/>
        <v>0.65356868395773293</v>
      </c>
      <c r="H56" s="15">
        <f t="shared" si="92"/>
        <v>0.45846411550042876</v>
      </c>
      <c r="I56" s="15">
        <f t="shared" si="92"/>
        <v>0.40347724051877654</v>
      </c>
      <c r="J56" s="15">
        <f t="shared" ref="J56" si="93">J3/J$10</f>
        <v>0.45875081304136117</v>
      </c>
      <c r="N56" s="15">
        <f t="shared" ref="N56:P56" si="94">N3/N$10</f>
        <v>0.69941543785001581</v>
      </c>
      <c r="O56" s="15">
        <f t="shared" si="94"/>
        <v>0.69479709563900394</v>
      </c>
      <c r="P56" s="15">
        <f>P3/P$10</f>
        <v>0.55954644646216878</v>
      </c>
    </row>
    <row r="57" spans="2:23" x14ac:dyDescent="0.2">
      <c r="B57" s="3" t="s">
        <v>10</v>
      </c>
      <c r="C57" s="15">
        <f t="shared" ref="C57:I57" si="95">C4/C$10</f>
        <v>7.0251700546919413E-2</v>
      </c>
      <c r="D57" s="15">
        <f t="shared" si="95"/>
        <v>7.1489636481041896E-2</v>
      </c>
      <c r="E57" s="15">
        <f t="shared" si="95"/>
        <v>7.232847567489599E-2</v>
      </c>
      <c r="F57" s="15">
        <f t="shared" si="95"/>
        <v>7.8565201246387578E-2</v>
      </c>
      <c r="G57" s="15">
        <f t="shared" si="95"/>
        <v>8.9053794428434196E-2</v>
      </c>
      <c r="H57" s="15">
        <f t="shared" si="95"/>
        <v>8.8232596167268237E-2</v>
      </c>
      <c r="I57" s="15">
        <f t="shared" si="95"/>
        <v>0.10127215108808375</v>
      </c>
      <c r="J57" s="15">
        <f t="shared" ref="J57" si="96">J4/J$10</f>
        <v>0.10135382493753355</v>
      </c>
      <c r="N57" s="15">
        <f t="shared" ref="N57:P57" si="97">N4/N$10</f>
        <v>6.8105045525583136E-2</v>
      </c>
      <c r="O57" s="15">
        <f t="shared" si="97"/>
        <v>7.1598547350602892E-2</v>
      </c>
      <c r="P57" s="15">
        <f t="shared" si="97"/>
        <v>7.7723231641363424E-2</v>
      </c>
    </row>
    <row r="58" spans="2:23" x14ac:dyDescent="0.2">
      <c r="B58" s="3" t="s">
        <v>11</v>
      </c>
      <c r="C58" s="15">
        <f t="shared" ref="C58:I58" si="98">C5/C$10</f>
        <v>5.2418011095211027E-2</v>
      </c>
      <c r="D58" s="15">
        <f>D5/D$10</f>
        <v>5.0617081844060642E-2</v>
      </c>
      <c r="E58" s="15">
        <f t="shared" si="98"/>
        <v>6.0315800386749545E-2</v>
      </c>
      <c r="F58" s="15">
        <f t="shared" si="98"/>
        <v>5.313292109979173E-2</v>
      </c>
      <c r="G58" s="15">
        <f t="shared" si="98"/>
        <v>6.0273775216138331E-2</v>
      </c>
      <c r="H58" s="15">
        <f t="shared" si="98"/>
        <v>5.7630566135561452E-2</v>
      </c>
      <c r="I58" s="15">
        <f t="shared" si="98"/>
        <v>6.4305812065396581E-2</v>
      </c>
      <c r="J58" s="15">
        <f t="shared" ref="J58" si="99">J5/J$10</f>
        <v>5.3882872284086426E-2</v>
      </c>
      <c r="N58" s="15">
        <f t="shared" ref="N58:P58" si="100">N5/N$10</f>
        <v>4.9411046314665356E-2</v>
      </c>
      <c r="O58" s="15">
        <f t="shared" si="100"/>
        <v>5.0982226379794202E-2</v>
      </c>
      <c r="P58" s="15">
        <f t="shared" si="100"/>
        <v>5.5947849586336806E-2</v>
      </c>
    </row>
    <row r="59" spans="2:23" x14ac:dyDescent="0.2">
      <c r="B59" s="3" t="s">
        <v>12</v>
      </c>
      <c r="C59" s="15">
        <f t="shared" ref="C59:I59" si="101">C6/C$10</f>
        <v>5.6760041558034227E-2</v>
      </c>
      <c r="D59" s="15">
        <f t="shared" si="101"/>
        <v>7.8633597991869253E-2</v>
      </c>
      <c r="E59" s="15">
        <f t="shared" si="101"/>
        <v>8.2407403233731052E-2</v>
      </c>
      <c r="F59" s="15">
        <f t="shared" si="101"/>
        <v>6.6811701835677043E-2</v>
      </c>
      <c r="G59" s="15">
        <f t="shared" si="101"/>
        <v>6.5413064361191167E-2</v>
      </c>
      <c r="H59" s="15">
        <f t="shared" si="101"/>
        <v>9.238438989371249E-2</v>
      </c>
      <c r="I59" s="15">
        <f t="shared" si="101"/>
        <v>9.4297837880271532E-2</v>
      </c>
      <c r="J59" s="15">
        <f t="shared" ref="J59" si="102">J6/J$10</f>
        <v>0.10121165377055706</v>
      </c>
      <c r="N59" s="15">
        <f t="shared" ref="N59:P59" si="103">N6/N$10</f>
        <v>5.1942801297663842E-2</v>
      </c>
      <c r="O59" s="15">
        <f t="shared" si="103"/>
        <v>5.4048826462789343E-2</v>
      </c>
      <c r="P59" s="15">
        <f t="shared" si="103"/>
        <v>7.3237378176272766E-2</v>
      </c>
    </row>
    <row r="60" spans="2:23" x14ac:dyDescent="0.2">
      <c r="B60" s="3" t="s">
        <v>13</v>
      </c>
      <c r="C60" s="15">
        <f t="shared" ref="C60:I60" si="104">C7/C$10</f>
        <v>9.2971399447199732E-2</v>
      </c>
      <c r="D60" s="15">
        <f t="shared" si="104"/>
        <v>0.10971506007112129</v>
      </c>
      <c r="E60" s="15">
        <f t="shared" si="104"/>
        <v>0.1218621675103336</v>
      </c>
      <c r="F60" s="15">
        <f t="shared" si="104"/>
        <v>8.1447068890359867E-2</v>
      </c>
      <c r="G60" s="15">
        <f t="shared" si="104"/>
        <v>8.9250720461095098E-2</v>
      </c>
      <c r="H60" s="15">
        <f t="shared" si="104"/>
        <v>0.10019741958641594</v>
      </c>
      <c r="I60" s="15">
        <f t="shared" si="104"/>
        <v>0.11423330069288645</v>
      </c>
      <c r="J60" s="15">
        <f t="shared" ref="J60" si="105">J7/J$10</f>
        <v>9.9754399309048128E-2</v>
      </c>
      <c r="N60" s="15">
        <f t="shared" ref="N60:P60" si="106">N7/N$10</f>
        <v>8.4426221509043081E-2</v>
      </c>
      <c r="O60" s="15">
        <f t="shared" si="106"/>
        <v>8.7412169338219256E-2</v>
      </c>
      <c r="P60" s="15">
        <f t="shared" si="106"/>
        <v>0.10016920813045624</v>
      </c>
    </row>
    <row r="61" spans="2:23" x14ac:dyDescent="0.2">
      <c r="B61" s="3" t="s">
        <v>14</v>
      </c>
      <c r="C61" s="15">
        <f t="shared" ref="C61:I61" si="107">C8/C$10</f>
        <v>3.9230196224491795E-2</v>
      </c>
      <c r="D61" s="15">
        <f t="shared" si="107"/>
        <v>1.803497858175766E-2</v>
      </c>
      <c r="E61" s="15">
        <f t="shared" si="107"/>
        <v>2.3565578388904166E-2</v>
      </c>
      <c r="F61" s="15">
        <f t="shared" si="107"/>
        <v>3.0618834659907328E-2</v>
      </c>
      <c r="G61" s="15">
        <f t="shared" si="107"/>
        <v>3.9735830931796348E-2</v>
      </c>
      <c r="H61" s="15">
        <f t="shared" si="107"/>
        <v>2.1460904939477936E-2</v>
      </c>
      <c r="I61" s="15">
        <f t="shared" si="107"/>
        <v>2.3877106651627272E-2</v>
      </c>
      <c r="J61" s="15">
        <f t="shared" ref="J61" si="108">J8/J$10</f>
        <v>1.7913567039036647E-2</v>
      </c>
      <c r="N61" s="15">
        <f t="shared" ref="N61:P61" si="109">N8/N$10</f>
        <v>4.3477594107814287E-2</v>
      </c>
      <c r="O61" s="15">
        <f t="shared" si="109"/>
        <v>3.7830779005511912E-2</v>
      </c>
      <c r="P61" s="15">
        <f t="shared" si="109"/>
        <v>2.7907645110731627E-2</v>
      </c>
    </row>
    <row r="62" spans="2:23" x14ac:dyDescent="0.2">
      <c r="B62" s="3" t="s">
        <v>15</v>
      </c>
      <c r="C62" s="15">
        <f t="shared" ref="C62:I62" si="110">C9/C$10</f>
        <v>1.8818732479956089E-3</v>
      </c>
      <c r="D62" s="15">
        <f t="shared" si="110"/>
        <v>0.20532409302156376</v>
      </c>
      <c r="E62" s="15">
        <f t="shared" si="110"/>
        <v>0.21700345730654635</v>
      </c>
      <c r="F62" s="15">
        <f t="shared" si="110"/>
        <v>3.3218166260352926E-3</v>
      </c>
      <c r="G62" s="15">
        <f t="shared" si="110"/>
        <v>2.7041306436119115E-3</v>
      </c>
      <c r="H62" s="15">
        <f t="shared" si="110"/>
        <v>0.18163000777713523</v>
      </c>
      <c r="I62" s="15">
        <f t="shared" si="110"/>
        <v>0.1985365511029579</v>
      </c>
      <c r="J62" s="15">
        <f t="shared" ref="J62" si="111">J9/J$10</f>
        <v>0.16713286961837703</v>
      </c>
      <c r="N62" s="15">
        <f t="shared" ref="N62:P62" si="112">N9/N$10</f>
        <v>3.2218533952144811E-3</v>
      </c>
      <c r="O62" s="15">
        <f t="shared" si="112"/>
        <v>3.3303558240784376E-3</v>
      </c>
      <c r="P62" s="15">
        <f t="shared" si="112"/>
        <v>0.10546824089267036</v>
      </c>
    </row>
    <row r="64" spans="2:23" x14ac:dyDescent="0.2">
      <c r="B64" s="3" t="s">
        <v>51</v>
      </c>
      <c r="P64" s="6">
        <f>main!B5-main!B6</f>
        <v>83173</v>
      </c>
      <c r="Q64" s="6">
        <f>P64+Q30</f>
        <v>85252.324999999997</v>
      </c>
      <c r="R64" s="6">
        <f t="shared" ref="R64:W64" si="113">Q64+R30</f>
        <v>87383.633124999993</v>
      </c>
      <c r="S64" s="6">
        <f t="shared" si="113"/>
        <v>89568.223953124994</v>
      </c>
      <c r="T64" s="6">
        <f t="shared" si="113"/>
        <v>91807.429551953115</v>
      </c>
      <c r="U64" s="6">
        <f t="shared" si="113"/>
        <v>94102.615290751943</v>
      </c>
      <c r="V64" s="6">
        <f t="shared" si="113"/>
        <v>96455.180673020746</v>
      </c>
      <c r="W64" s="6">
        <f t="shared" si="113"/>
        <v>98866.560189846263</v>
      </c>
    </row>
  </sheetData>
  <hyperlinks>
    <hyperlink ref="A1" location="main!A1" display="main" xr:uid="{844E6E61-A9DE-4024-9325-B4E81CE6B5E0}"/>
  </hyperlink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993AF71F1D3934092C20F0459A3560E" ma:contentTypeVersion="3" ma:contentTypeDescription="Criar um novo documento." ma:contentTypeScope="" ma:versionID="69932a4b24b602f1503fbde483755cdf">
  <xsd:schema xmlns:xsd="http://www.w3.org/2001/XMLSchema" xmlns:xs="http://www.w3.org/2001/XMLSchema" xmlns:p="http://schemas.microsoft.com/office/2006/metadata/properties" xmlns:ns3="c555a233-98bf-4fab-a710-8e4826c6fa49" targetNamespace="http://schemas.microsoft.com/office/2006/metadata/properties" ma:root="true" ma:fieldsID="18281b1f8c3b871a608de409a8331f34" ns3:_="">
    <xsd:import namespace="c555a233-98bf-4fab-a710-8e4826c6fa4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55a233-98bf-4fab-a710-8e4826c6fa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847EE2-A004-4668-8B62-544185960AC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764C31E-2DDA-44FF-B500-C21B15642E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55a233-98bf-4fab-a710-8e4826c6fa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4898DBE-2CE3-4853-85AA-29ED9B1770C1}">
  <ds:schemaRefs>
    <ds:schemaRef ds:uri="http://purl.org/dc/terms/"/>
    <ds:schemaRef ds:uri="c555a233-98bf-4fab-a710-8e4826c6fa49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Cadal Duarte Morais</dc:creator>
  <cp:lastModifiedBy>Alexandre Duarte Morais</cp:lastModifiedBy>
  <dcterms:created xsi:type="dcterms:W3CDTF">2023-11-21T15:42:16Z</dcterms:created>
  <dcterms:modified xsi:type="dcterms:W3CDTF">2024-10-04T17:46:50Z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0x0101005993AF71F1D3934092C20F0459A3560E</vt:lpwstr>
  </property>
</Properties>
</file>