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672" documentId="8_{4267B2BB-3C93-4A9E-BA0B-22BC40A16E49}" xr6:coauthVersionLast="47" xr6:coauthVersionMax="47" xr10:uidLastSave="{8D8891FA-E8D4-474F-8EA1-F8AF1A7F825D}"/>
  <bookViews>
    <workbookView xWindow="11424" yWindow="0" windowWidth="11712" windowHeight="12336" xr2:uid="{92DD9113-94DB-4F53-B58F-6BF56206FC8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AB4" i="2"/>
  <c r="AC4" i="2" s="1"/>
  <c r="AC3" i="2"/>
  <c r="AB3" i="2"/>
  <c r="AA4" i="2"/>
  <c r="Z4" i="2"/>
  <c r="Y4" i="2"/>
  <c r="Z3" i="2"/>
  <c r="Y3" i="2"/>
  <c r="X12" i="2"/>
  <c r="W12" i="2"/>
  <c r="W31" i="2" s="1"/>
  <c r="X8" i="2"/>
  <c r="X30" i="2"/>
  <c r="W30" i="2"/>
  <c r="X29" i="2"/>
  <c r="W29" i="2"/>
  <c r="X28" i="2"/>
  <c r="W28" i="2"/>
  <c r="W27" i="2"/>
  <c r="X5" i="2"/>
  <c r="Y5" i="2" s="1"/>
  <c r="Z5" i="2" s="1"/>
  <c r="AA5" i="2" s="1"/>
  <c r="AB5" i="2" s="1"/>
  <c r="AC5" i="2" s="1"/>
  <c r="W5" i="2"/>
  <c r="K60" i="2"/>
  <c r="AG6" i="2" s="1"/>
  <c r="Z13" i="2"/>
  <c r="AA13" i="2" s="1"/>
  <c r="AB13" i="2" s="1"/>
  <c r="AC13" i="2" s="1"/>
  <c r="Y13" i="2"/>
  <c r="X13" i="2"/>
  <c r="W13" i="2"/>
  <c r="X21" i="2"/>
  <c r="Y21" i="2" s="1"/>
  <c r="Z21" i="2" s="1"/>
  <c r="AA21" i="2" s="1"/>
  <c r="AB21" i="2" s="1"/>
  <c r="AC21" i="2" s="1"/>
  <c r="W21" i="2"/>
  <c r="T58" i="2"/>
  <c r="V56" i="2"/>
  <c r="S55" i="2"/>
  <c r="D58" i="2"/>
  <c r="K31" i="2"/>
  <c r="J31" i="2"/>
  <c r="I31" i="2"/>
  <c r="H31" i="2"/>
  <c r="G31" i="2"/>
  <c r="F31" i="2"/>
  <c r="K30" i="2"/>
  <c r="J30" i="2"/>
  <c r="I30" i="2"/>
  <c r="H30" i="2"/>
  <c r="G30" i="2"/>
  <c r="F30" i="2"/>
  <c r="K29" i="2"/>
  <c r="J29" i="2"/>
  <c r="I29" i="2"/>
  <c r="H29" i="2"/>
  <c r="G29" i="2"/>
  <c r="F29" i="2"/>
  <c r="K28" i="2"/>
  <c r="J28" i="2"/>
  <c r="I28" i="2"/>
  <c r="H28" i="2"/>
  <c r="G28" i="2"/>
  <c r="F28" i="2"/>
  <c r="J27" i="2"/>
  <c r="I27" i="2"/>
  <c r="H27" i="2"/>
  <c r="G27" i="2"/>
  <c r="F27" i="2"/>
  <c r="K27" i="2"/>
  <c r="J26" i="2"/>
  <c r="I26" i="2"/>
  <c r="H26" i="2"/>
  <c r="G26" i="2"/>
  <c r="F26" i="2"/>
  <c r="J25" i="2"/>
  <c r="I25" i="2"/>
  <c r="H25" i="2"/>
  <c r="G25" i="2"/>
  <c r="F25" i="2"/>
  <c r="J24" i="2"/>
  <c r="I24" i="2"/>
  <c r="H24" i="2"/>
  <c r="G24" i="2"/>
  <c r="F24" i="2"/>
  <c r="K26" i="2"/>
  <c r="K25" i="2"/>
  <c r="K24" i="2"/>
  <c r="W26" i="2"/>
  <c r="W4" i="2"/>
  <c r="X4" i="2" s="1"/>
  <c r="W3" i="2"/>
  <c r="X3" i="2" s="1"/>
  <c r="V26" i="2"/>
  <c r="U26" i="2"/>
  <c r="T26" i="2"/>
  <c r="S26" i="2"/>
  <c r="R26" i="2"/>
  <c r="V25" i="2"/>
  <c r="U25" i="2"/>
  <c r="T25" i="2"/>
  <c r="S25" i="2"/>
  <c r="R25" i="2"/>
  <c r="U24" i="2"/>
  <c r="T24" i="2"/>
  <c r="S24" i="2"/>
  <c r="R24" i="2"/>
  <c r="V24" i="2"/>
  <c r="V31" i="2"/>
  <c r="U31" i="2"/>
  <c r="T31" i="2"/>
  <c r="S31" i="2"/>
  <c r="R31" i="2"/>
  <c r="V30" i="2"/>
  <c r="U30" i="2"/>
  <c r="T30" i="2"/>
  <c r="S30" i="2"/>
  <c r="R30" i="2"/>
  <c r="V29" i="2"/>
  <c r="U29" i="2"/>
  <c r="T29" i="2"/>
  <c r="S29" i="2"/>
  <c r="R29" i="2"/>
  <c r="V28" i="2"/>
  <c r="U28" i="2"/>
  <c r="T28" i="2"/>
  <c r="S28" i="2"/>
  <c r="R28" i="2"/>
  <c r="V27" i="2"/>
  <c r="X1" i="2"/>
  <c r="Y1" i="2" s="1"/>
  <c r="Z1" i="2" s="1"/>
  <c r="AA1" i="2" s="1"/>
  <c r="AB1" i="2" s="1"/>
  <c r="AC1" i="2" s="1"/>
  <c r="T17" i="2"/>
  <c r="T16" i="2"/>
  <c r="T8" i="2"/>
  <c r="T14" i="2" s="1"/>
  <c r="R8" i="2"/>
  <c r="R14" i="2" s="1"/>
  <c r="Q8" i="2"/>
  <c r="Q54" i="2" s="1"/>
  <c r="Q7" i="2"/>
  <c r="Q58" i="2" s="1"/>
  <c r="Q13" i="2"/>
  <c r="Q17" i="2"/>
  <c r="R17" i="2"/>
  <c r="S17" i="2"/>
  <c r="Q16" i="2"/>
  <c r="R16" i="2"/>
  <c r="S16" i="2"/>
  <c r="S8" i="2"/>
  <c r="S14" i="2" s="1"/>
  <c r="S7" i="2"/>
  <c r="S58" i="2" s="1"/>
  <c r="T7" i="2"/>
  <c r="T56" i="2" s="1"/>
  <c r="T41" i="2"/>
  <c r="R1" i="2"/>
  <c r="S1" i="2" s="1"/>
  <c r="T1" i="2" s="1"/>
  <c r="Q41" i="2"/>
  <c r="R41" i="2"/>
  <c r="R7" i="2"/>
  <c r="R55" i="2" s="1"/>
  <c r="C40" i="2"/>
  <c r="D40" i="2" s="1"/>
  <c r="E40" i="2" s="1"/>
  <c r="C39" i="2"/>
  <c r="D39" i="2" s="1"/>
  <c r="E39" i="2" s="1"/>
  <c r="C38" i="2"/>
  <c r="D38" i="2" s="1"/>
  <c r="E38" i="2" s="1"/>
  <c r="C13" i="2"/>
  <c r="C14" i="2" s="1"/>
  <c r="B13" i="2"/>
  <c r="B14" i="2" s="1"/>
  <c r="E13" i="2"/>
  <c r="E14" i="2" s="1"/>
  <c r="U41" i="2"/>
  <c r="S41" i="2"/>
  <c r="V41" i="2"/>
  <c r="V7" i="2"/>
  <c r="V54" i="2" s="1"/>
  <c r="V14" i="2"/>
  <c r="U7" i="2"/>
  <c r="U56" i="2" s="1"/>
  <c r="U14" i="2"/>
  <c r="D14" i="2"/>
  <c r="E7" i="2"/>
  <c r="E57" i="2" s="1"/>
  <c r="D7" i="2"/>
  <c r="D57" i="2" s="1"/>
  <c r="C7" i="2"/>
  <c r="C58" i="2" s="1"/>
  <c r="G40" i="2"/>
  <c r="H40" i="2" s="1"/>
  <c r="I40" i="2" s="1"/>
  <c r="G39" i="2"/>
  <c r="H39" i="2" s="1"/>
  <c r="I39" i="2" s="1"/>
  <c r="G38" i="2"/>
  <c r="H38" i="2" s="1"/>
  <c r="I38" i="2" s="1"/>
  <c r="K40" i="2"/>
  <c r="K39" i="2"/>
  <c r="K38" i="2"/>
  <c r="G16" i="2"/>
  <c r="K16" i="2"/>
  <c r="B41" i="2"/>
  <c r="B7" i="2"/>
  <c r="B58" i="2" s="1"/>
  <c r="AA3" i="2" l="1"/>
  <c r="AC24" i="2" s="1"/>
  <c r="X31" i="2"/>
  <c r="X27" i="2"/>
  <c r="E58" i="2"/>
  <c r="T55" i="2"/>
  <c r="R57" i="2"/>
  <c r="U58" i="2"/>
  <c r="B54" i="2"/>
  <c r="B55" i="2"/>
  <c r="R54" i="2"/>
  <c r="U55" i="2"/>
  <c r="S57" i="2"/>
  <c r="V58" i="2"/>
  <c r="C54" i="2"/>
  <c r="C55" i="2"/>
  <c r="B56" i="2"/>
  <c r="S54" i="2"/>
  <c r="V55" i="2"/>
  <c r="T57" i="2"/>
  <c r="W25" i="2"/>
  <c r="D54" i="2"/>
  <c r="D55" i="2"/>
  <c r="C56" i="2"/>
  <c r="B57" i="2"/>
  <c r="T54" i="2"/>
  <c r="R56" i="2"/>
  <c r="U57" i="2"/>
  <c r="Q55" i="2"/>
  <c r="E54" i="2"/>
  <c r="E55" i="2"/>
  <c r="D56" i="2"/>
  <c r="C57" i="2"/>
  <c r="U54" i="2"/>
  <c r="S56" i="2"/>
  <c r="V57" i="2"/>
  <c r="Q56" i="2"/>
  <c r="E56" i="2"/>
  <c r="R58" i="2"/>
  <c r="Q57" i="2"/>
  <c r="W24" i="2"/>
  <c r="Y26" i="2"/>
  <c r="X26" i="2"/>
  <c r="X25" i="2"/>
  <c r="X24" i="2"/>
  <c r="Y24" i="2"/>
  <c r="Z24" i="2"/>
  <c r="Y7" i="2"/>
  <c r="W7" i="2"/>
  <c r="X7" i="2"/>
  <c r="R27" i="2"/>
  <c r="S27" i="2"/>
  <c r="T27" i="2"/>
  <c r="U27" i="2"/>
  <c r="S32" i="2"/>
  <c r="S15" i="2"/>
  <c r="S34" i="2" s="1"/>
  <c r="R32" i="2"/>
  <c r="U32" i="2"/>
  <c r="T32" i="2"/>
  <c r="T15" i="2"/>
  <c r="T34" i="2" s="1"/>
  <c r="Q14" i="2"/>
  <c r="Q15" i="2" s="1"/>
  <c r="R15" i="2"/>
  <c r="K41" i="2"/>
  <c r="U15" i="2"/>
  <c r="U34" i="2" s="1"/>
  <c r="V32" i="2"/>
  <c r="C41" i="2"/>
  <c r="D41" i="2"/>
  <c r="E41" i="2"/>
  <c r="D15" i="2"/>
  <c r="D18" i="2" s="1"/>
  <c r="D20" i="2" s="1"/>
  <c r="E15" i="2"/>
  <c r="E34" i="2" s="1"/>
  <c r="V15" i="2"/>
  <c r="C15" i="2"/>
  <c r="C18" i="2" s="1"/>
  <c r="C20" i="2" s="1"/>
  <c r="B15" i="2"/>
  <c r="B18" i="2" s="1"/>
  <c r="B20" i="2" s="1"/>
  <c r="B6" i="1"/>
  <c r="B5" i="1"/>
  <c r="B4" i="1"/>
  <c r="B7" i="1" s="1"/>
  <c r="I41" i="2"/>
  <c r="H41" i="2"/>
  <c r="G41" i="2"/>
  <c r="F41" i="2"/>
  <c r="J41" i="2"/>
  <c r="J16" i="2"/>
  <c r="F16" i="2"/>
  <c r="N14" i="2"/>
  <c r="M14" i="2"/>
  <c r="L14" i="2"/>
  <c r="K14" i="2"/>
  <c r="J14" i="2"/>
  <c r="I14" i="2"/>
  <c r="H14" i="2"/>
  <c r="G14" i="2"/>
  <c r="F14" i="2"/>
  <c r="N7" i="2"/>
  <c r="M7" i="2"/>
  <c r="L7" i="2"/>
  <c r="K7" i="2"/>
  <c r="J7" i="2"/>
  <c r="I7" i="2"/>
  <c r="H7" i="2"/>
  <c r="G7" i="2"/>
  <c r="F7" i="2"/>
  <c r="F3" i="1" l="1"/>
  <c r="F2" i="1"/>
  <c r="AA24" i="2"/>
  <c r="AB24" i="2"/>
  <c r="Y8" i="2"/>
  <c r="Y27" i="2" s="1"/>
  <c r="Y12" i="2"/>
  <c r="Y31" i="2" s="1"/>
  <c r="Y11" i="2"/>
  <c r="Y30" i="2" s="1"/>
  <c r="Y10" i="2"/>
  <c r="Y29" i="2" s="1"/>
  <c r="Y9" i="2"/>
  <c r="Y28" i="2" s="1"/>
  <c r="W8" i="2"/>
  <c r="W9" i="2"/>
  <c r="W10" i="2"/>
  <c r="W11" i="2"/>
  <c r="X10" i="2"/>
  <c r="X11" i="2"/>
  <c r="X9" i="2"/>
  <c r="H32" i="2"/>
  <c r="H55" i="2"/>
  <c r="H58" i="2"/>
  <c r="H54" i="2"/>
  <c r="H57" i="2"/>
  <c r="H56" i="2"/>
  <c r="G32" i="2"/>
  <c r="G55" i="2"/>
  <c r="G54" i="2"/>
  <c r="G58" i="2"/>
  <c r="G57" i="2"/>
  <c r="G56" i="2"/>
  <c r="I32" i="2"/>
  <c r="I58" i="2"/>
  <c r="I57" i="2"/>
  <c r="I54" i="2"/>
  <c r="I56" i="2"/>
  <c r="I55" i="2"/>
  <c r="J58" i="2"/>
  <c r="J57" i="2"/>
  <c r="J56" i="2"/>
  <c r="J55" i="2"/>
  <c r="J54" i="2"/>
  <c r="K55" i="2"/>
  <c r="K58" i="2"/>
  <c r="K57" i="2"/>
  <c r="K56" i="2"/>
  <c r="K54" i="2"/>
  <c r="F56" i="2"/>
  <c r="F55" i="2"/>
  <c r="F54" i="2"/>
  <c r="F57" i="2"/>
  <c r="F58" i="2"/>
  <c r="X32" i="2"/>
  <c r="Y32" i="2"/>
  <c r="W32" i="2"/>
  <c r="Z26" i="2"/>
  <c r="Y25" i="2"/>
  <c r="AA26" i="2"/>
  <c r="Z7" i="2"/>
  <c r="S18" i="2"/>
  <c r="S20" i="2" s="1"/>
  <c r="S35" i="2" s="1"/>
  <c r="Q18" i="2"/>
  <c r="Q20" i="2" s="1"/>
  <c r="Q34" i="2"/>
  <c r="T18" i="2"/>
  <c r="T20" i="2" s="1"/>
  <c r="T35" i="2" s="1"/>
  <c r="R18" i="2"/>
  <c r="R20" i="2" s="1"/>
  <c r="R34" i="2"/>
  <c r="U18" i="2"/>
  <c r="U20" i="2" s="1"/>
  <c r="U35" i="2" s="1"/>
  <c r="F15" i="2"/>
  <c r="F18" i="2" s="1"/>
  <c r="F20" i="2" s="1"/>
  <c r="F32" i="2"/>
  <c r="V18" i="2"/>
  <c r="V20" i="2" s="1"/>
  <c r="V34" i="2"/>
  <c r="F43" i="2"/>
  <c r="E43" i="2"/>
  <c r="G43" i="2"/>
  <c r="H43" i="2"/>
  <c r="D34" i="2"/>
  <c r="L32" i="2"/>
  <c r="J43" i="2"/>
  <c r="I43" i="2"/>
  <c r="K43" i="2"/>
  <c r="E18" i="2"/>
  <c r="E20" i="2" s="1"/>
  <c r="E35" i="2" s="1"/>
  <c r="C34" i="2"/>
  <c r="C35" i="2"/>
  <c r="C22" i="2"/>
  <c r="D35" i="2"/>
  <c r="D22" i="2"/>
  <c r="G15" i="2"/>
  <c r="G18" i="2" s="1"/>
  <c r="G20" i="2" s="1"/>
  <c r="B34" i="2"/>
  <c r="B35" i="2"/>
  <c r="B22" i="2"/>
  <c r="N32" i="2"/>
  <c r="I15" i="2"/>
  <c r="I34" i="2" s="1"/>
  <c r="M15" i="2"/>
  <c r="M34" i="2" s="1"/>
  <c r="H15" i="2"/>
  <c r="H34" i="2" s="1"/>
  <c r="K32" i="2"/>
  <c r="N15" i="2"/>
  <c r="J32" i="2"/>
  <c r="L15" i="2"/>
  <c r="M32" i="2"/>
  <c r="J15" i="2"/>
  <c r="J34" i="2" s="1"/>
  <c r="K15" i="2"/>
  <c r="Z12" i="2" l="1"/>
  <c r="Z31" i="2" s="1"/>
  <c r="Z8" i="2"/>
  <c r="Z27" i="2" s="1"/>
  <c r="Y14" i="2"/>
  <c r="Y15" i="2" s="1"/>
  <c r="Y34" i="2" s="1"/>
  <c r="X14" i="2"/>
  <c r="X15" i="2" s="1"/>
  <c r="X34" i="2" s="1"/>
  <c r="Z9" i="2"/>
  <c r="Z28" i="2" s="1"/>
  <c r="Z11" i="2"/>
  <c r="Z30" i="2" s="1"/>
  <c r="Z10" i="2"/>
  <c r="Z29" i="2" s="1"/>
  <c r="W14" i="2"/>
  <c r="W15" i="2" s="1"/>
  <c r="W18" i="2" s="1"/>
  <c r="Z32" i="2"/>
  <c r="Z25" i="2"/>
  <c r="AB26" i="2"/>
  <c r="AA7" i="2"/>
  <c r="S22" i="2"/>
  <c r="U22" i="2"/>
  <c r="Q22" i="2"/>
  <c r="Q36" i="2" s="1"/>
  <c r="Q35" i="2"/>
  <c r="T22" i="2"/>
  <c r="R22" i="2"/>
  <c r="R35" i="2"/>
  <c r="F34" i="2"/>
  <c r="V35" i="2"/>
  <c r="V22" i="2"/>
  <c r="V36" i="2" s="1"/>
  <c r="E22" i="2"/>
  <c r="G34" i="2"/>
  <c r="I18" i="2"/>
  <c r="I20" i="2" s="1"/>
  <c r="I22" i="2" s="1"/>
  <c r="H18" i="2"/>
  <c r="H20" i="2" s="1"/>
  <c r="H35" i="2" s="1"/>
  <c r="M18" i="2"/>
  <c r="M20" i="2" s="1"/>
  <c r="M22" i="2" s="1"/>
  <c r="J18" i="2"/>
  <c r="J20" i="2" s="1"/>
  <c r="J22" i="2" s="1"/>
  <c r="N34" i="2"/>
  <c r="N18" i="2"/>
  <c r="N20" i="2" s="1"/>
  <c r="F35" i="2"/>
  <c r="F22" i="2"/>
  <c r="G35" i="2"/>
  <c r="G22" i="2"/>
  <c r="L18" i="2"/>
  <c r="L20" i="2" s="1"/>
  <c r="L34" i="2"/>
  <c r="K34" i="2"/>
  <c r="K18" i="2"/>
  <c r="K20" i="2" s="1"/>
  <c r="AA9" i="2" l="1"/>
  <c r="AA28" i="2" s="1"/>
  <c r="AA12" i="2"/>
  <c r="AA31" i="2" s="1"/>
  <c r="AA8" i="2"/>
  <c r="AA27" i="2" s="1"/>
  <c r="W19" i="2"/>
  <c r="W20" i="2" s="1"/>
  <c r="AA10" i="2"/>
  <c r="AA29" i="2" s="1"/>
  <c r="AA11" i="2"/>
  <c r="AA30" i="2" s="1"/>
  <c r="W34" i="2"/>
  <c r="Z14" i="2"/>
  <c r="Z15" i="2" s="1"/>
  <c r="Z34" i="2" s="1"/>
  <c r="AA32" i="2"/>
  <c r="AA25" i="2"/>
  <c r="AC26" i="2"/>
  <c r="AB7" i="2"/>
  <c r="U36" i="2"/>
  <c r="R36" i="2"/>
  <c r="T36" i="2"/>
  <c r="S36" i="2"/>
  <c r="M35" i="2"/>
  <c r="J35" i="2"/>
  <c r="I35" i="2"/>
  <c r="H22" i="2"/>
  <c r="J36" i="2"/>
  <c r="N35" i="2"/>
  <c r="N22" i="2"/>
  <c r="L22" i="2"/>
  <c r="L35" i="2"/>
  <c r="K22" i="2"/>
  <c r="K36" i="2" s="1"/>
  <c r="K35" i="2"/>
  <c r="AB9" i="2" l="1"/>
  <c r="AB28" i="2" s="1"/>
  <c r="AB12" i="2"/>
  <c r="AB8" i="2"/>
  <c r="AB27" i="2" s="1"/>
  <c r="W60" i="2"/>
  <c r="X17" i="2" s="1"/>
  <c r="X18" i="2" s="1"/>
  <c r="X19" i="2" s="1"/>
  <c r="X20" i="2" s="1"/>
  <c r="X35" i="2" s="1"/>
  <c r="W35" i="2"/>
  <c r="W22" i="2"/>
  <c r="AA14" i="2"/>
  <c r="AA15" i="2" s="1"/>
  <c r="AA34" i="2" s="1"/>
  <c r="AB10" i="2"/>
  <c r="AB29" i="2" s="1"/>
  <c r="AB11" i="2"/>
  <c r="AB30" i="2" s="1"/>
  <c r="W36" i="2"/>
  <c r="AB32" i="2"/>
  <c r="AC25" i="2"/>
  <c r="AB25" i="2"/>
  <c r="AB31" i="2" l="1"/>
  <c r="X22" i="2"/>
  <c r="X36" i="2" s="1"/>
  <c r="X60" i="2"/>
  <c r="Y17" i="2" s="1"/>
  <c r="Y18" i="2" s="1"/>
  <c r="Y19" i="2" s="1"/>
  <c r="Y20" i="2" s="1"/>
  <c r="AB14" i="2"/>
  <c r="AB15" i="2" s="1"/>
  <c r="AB34" i="2" s="1"/>
  <c r="AC7" i="2"/>
  <c r="AC9" i="2" l="1"/>
  <c r="AC28" i="2" s="1"/>
  <c r="AC12" i="2"/>
  <c r="AC31" i="2" s="1"/>
  <c r="AC8" i="2"/>
  <c r="AC27" i="2" s="1"/>
  <c r="AC10" i="2"/>
  <c r="AC29" i="2" s="1"/>
  <c r="AC11" i="2"/>
  <c r="AC30" i="2" s="1"/>
  <c r="Y35" i="2"/>
  <c r="Y22" i="2"/>
  <c r="Y36" i="2" s="1"/>
  <c r="Y60" i="2"/>
  <c r="Z17" i="2" s="1"/>
  <c r="Z18" i="2" s="1"/>
  <c r="AC32" i="2"/>
  <c r="AC14" i="2" l="1"/>
  <c r="AC15" i="2" s="1"/>
  <c r="AC34" i="2" s="1"/>
  <c r="Z19" i="2"/>
  <c r="Z20" i="2" s="1"/>
  <c r="Z60" i="2" l="1"/>
  <c r="Z35" i="2"/>
  <c r="Z22" i="2"/>
  <c r="Z36" i="2" s="1"/>
  <c r="AA17" i="2" l="1"/>
  <c r="AA18" i="2" s="1"/>
  <c r="AA19" i="2" l="1"/>
  <c r="AA20" i="2" s="1"/>
  <c r="AA22" i="2" l="1"/>
  <c r="AA36" i="2" s="1"/>
  <c r="AA35" i="2"/>
  <c r="AA60" i="2"/>
  <c r="AB17" i="2" s="1"/>
  <c r="AB18" i="2" s="1"/>
  <c r="AB19" i="2" l="1"/>
  <c r="AB20" i="2" s="1"/>
  <c r="AB60" i="2" l="1"/>
  <c r="AC17" i="2" s="1"/>
  <c r="AC18" i="2" s="1"/>
  <c r="AB35" i="2"/>
  <c r="AB22" i="2"/>
  <c r="AB36" i="2" s="1"/>
  <c r="AC19" i="2" l="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AG5" i="2" s="1"/>
  <c r="AG7" i="2" s="1"/>
  <c r="AG8" i="2" s="1"/>
  <c r="AC60" i="2" l="1"/>
  <c r="AC22" i="2"/>
  <c r="AC36" i="2" s="1"/>
  <c r="AC3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<sst xmlns="http://schemas.openxmlformats.org/spreadsheetml/2006/main" count="105" uniqueCount="92">
  <si>
    <t>ticket</t>
  </si>
  <si>
    <t>price</t>
  </si>
  <si>
    <t>shares</t>
  </si>
  <si>
    <t>mc</t>
  </si>
  <si>
    <t>cash</t>
  </si>
  <si>
    <t>debt</t>
  </si>
  <si>
    <t>ev</t>
  </si>
  <si>
    <t xml:space="preserve">Merchant </t>
  </si>
  <si>
    <t>Agency</t>
  </si>
  <si>
    <t>Advertising</t>
  </si>
  <si>
    <t>Q1 2023</t>
  </si>
  <si>
    <t>Q1 2024</t>
  </si>
  <si>
    <t>Q1 2025</t>
  </si>
  <si>
    <t>Marketing Expenses</t>
  </si>
  <si>
    <t>Sales</t>
  </si>
  <si>
    <t>Personnel</t>
  </si>
  <si>
    <t>G&amp;A</t>
  </si>
  <si>
    <t>IT</t>
  </si>
  <si>
    <t>D&amp;A</t>
  </si>
  <si>
    <t>Total Opex</t>
  </si>
  <si>
    <t>Operating Income</t>
  </si>
  <si>
    <t>Net Interest</t>
  </si>
  <si>
    <t>Other Income</t>
  </si>
  <si>
    <t>Pretax Income</t>
  </si>
  <si>
    <t>Taxes</t>
  </si>
  <si>
    <t>Net Income</t>
  </si>
  <si>
    <t>Shares</t>
  </si>
  <si>
    <t>EPS</t>
  </si>
  <si>
    <t>Operating Margin</t>
  </si>
  <si>
    <t>Net Margin</t>
  </si>
  <si>
    <t>EPS Y/Y</t>
  </si>
  <si>
    <t>CFFO</t>
  </si>
  <si>
    <t>CAPEX</t>
  </si>
  <si>
    <t>SBC</t>
  </si>
  <si>
    <t>FCF</t>
  </si>
  <si>
    <t>Booking.com</t>
  </si>
  <si>
    <t>Priceline</t>
  </si>
  <si>
    <t>agoda</t>
  </si>
  <si>
    <t>KYAK</t>
  </si>
  <si>
    <t>OpenTable</t>
  </si>
  <si>
    <t>Booking Holdings:</t>
  </si>
  <si>
    <t>2023 repurchased $10,2B</t>
  </si>
  <si>
    <t>Room Nights</t>
  </si>
  <si>
    <t>CEO</t>
  </si>
  <si>
    <t>Gross Bookings</t>
  </si>
  <si>
    <t>HQ</t>
  </si>
  <si>
    <t>Employees</t>
  </si>
  <si>
    <t>Q1 2022</t>
  </si>
  <si>
    <t>Rental Car Days</t>
  </si>
  <si>
    <t>Airline Tickets</t>
  </si>
  <si>
    <t>Founded in Amsterdam 1996</t>
  </si>
  <si>
    <t>Q2 2024</t>
  </si>
  <si>
    <t>Q2 2023</t>
  </si>
  <si>
    <t>Q3 2024</t>
  </si>
  <si>
    <t>Q4 2024</t>
  </si>
  <si>
    <t>Q3 2023</t>
  </si>
  <si>
    <t>Q4 2023</t>
  </si>
  <si>
    <t>Q2 2022</t>
  </si>
  <si>
    <t>Q3 2022</t>
  </si>
  <si>
    <t>Q4 2022</t>
  </si>
  <si>
    <t>FCF TTM</t>
  </si>
  <si>
    <t>TTM FCF/EV</t>
  </si>
  <si>
    <t>Revenue y/y</t>
  </si>
  <si>
    <t xml:space="preserve">Marketing Expenses </t>
  </si>
  <si>
    <t>% sales</t>
  </si>
  <si>
    <t>Revenue</t>
  </si>
  <si>
    <t>Net cash</t>
  </si>
  <si>
    <t>ROIC</t>
  </si>
  <si>
    <t>Maturity</t>
  </si>
  <si>
    <t>Discount</t>
  </si>
  <si>
    <t>NPV</t>
  </si>
  <si>
    <t>Net Cash</t>
  </si>
  <si>
    <t xml:space="preserve">Value </t>
  </si>
  <si>
    <t>Price</t>
  </si>
  <si>
    <t>FCF yield</t>
  </si>
  <si>
    <t xml:space="preserve">Funded </t>
  </si>
  <si>
    <t>Founder</t>
  </si>
  <si>
    <t>Norwalk, Connecticut, US</t>
  </si>
  <si>
    <t>Glenn D. Fogel</t>
  </si>
  <si>
    <t>Competitors</t>
  </si>
  <si>
    <t>Expedia Group</t>
  </si>
  <si>
    <t>Trip.com</t>
  </si>
  <si>
    <t>Airbnb</t>
  </si>
  <si>
    <t>Google Travel</t>
  </si>
  <si>
    <t>Industry</t>
  </si>
  <si>
    <t>Online Travel and Hospitality</t>
  </si>
  <si>
    <t>23,6k</t>
  </si>
  <si>
    <t>Jay S. Walker</t>
  </si>
  <si>
    <t>Booking Holdings generates revenue primarily through:</t>
  </si>
  <si>
    <t>Agency Model: Charging commissions on bookings made through its platforms.</t>
  </si>
  <si>
    <t>Merchant Model: Acting as a merchant and charging a markup on services.</t>
  </si>
  <si>
    <t>Advertising and Other Revenue: Including advertising fees on their websites and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</si>
</sst>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 ;_-[$$-409]* \-#,##0.00\ ;_-[$$-409]* &quot;-&quot;??_ ;_-@_ "/>
    <numFmt numFmtId="165" formatCode="0.000%"/>
    <numFmt numFmtId="166" formatCode="0.0%"/>
    <numFmt numFmtId="167" formatCode="0.00\x"/>
    <numFmt numFmtId="168" formatCode="_([$$-409]* #,##0.00_);_([$$-409]* \(#,##0.00\);_([$$-409]* &quot;-&quot;??_);_(@_)"/>
  </numFmts>
  <fonts count="5" x14ac:knownFonts="1">
    <font>
      <sz val="11"/>
      <color theme="1"/>
      <name val="Aptos Narrow"/>
      <family val="2"/>
      <scheme val="minor"/>
    </font>
    <font>
      <u/>
      <sz val="11"/>
      <color theme="10"/>
      <name val="Aptos Narrow"/>
      <family val="2"/>
      <scheme val="minor"/>
    </font>
    <font>
      <sz val="10"/>
      <color theme="1"/>
      <name val="Arial"/>
      <family val="2"/>
    </font>
    <font>
      <b/>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3" fontId="2" fillId="0" borderId="0" xfId="0" applyNumberFormat="1" applyFont="1"/>
    <xf numFmtId="3" fontId="3" fillId="0" borderId="0" xfId="0" applyNumberFormat="1" applyFont="1"/>
    <xf numFmtId="164" fontId="3" fillId="0" borderId="0" xfId="0" applyNumberFormat="1" applyFont="1"/>
    <xf numFmtId="9" fontId="2" fillId="0" borderId="0" xfId="0" applyNumberFormat="1" applyFont="1"/>
    <xf numFmtId="166" fontId="2" fillId="0" borderId="0" xfId="0" applyNumberFormat="1" applyFont="1"/>
    <xf numFmtId="165" fontId="2" fillId="0" borderId="0" xfId="0" applyNumberFormat="1" applyFont="1"/>
    <xf numFmtId="167" fontId="2" fillId="0" borderId="0" xfId="0" applyNumberFormat="1" applyFont="1"/>
    <xf numFmtId="164" fontId="2" fillId="0" borderId="0" xfId="0" applyNumberFormat="1" applyFont="1"/>
    <xf numFmtId="168" fontId="2" fillId="0" borderId="0" xfId="0" applyNumberFormat="1" applyFont="1"/>
    <xf numFmtId="10" fontId="2" fillId="0" borderId="0" xfId="0" applyNumberFormat="1" applyFont="1"/>
    <xf numFmtId="0" fontId="2" fillId="0" borderId="0" xfId="0" applyFont="1" applyAlignment="1">
      <alignment horizontal="left"/>
    </xf>
    <xf numFmtId="0" fontId="4"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11</xdr:col>
      <xdr:colOff>0</xdr:colOff>
      <xdr:row>0</xdr:row>
      <xdr:rowOff>9525</xdr:rowOff>
    </xdr:from>
    <xdr:to>
      <xdr:col>11</xdr:col>
      <xdr:colOff>0</xdr:colOff>
      <xdr:row>67</xdr:row>
      <xdr:rowOff>133350</xdr:rowOff>
    </xdr:to>
    <xdr:cxnSp macro="">
      <xdr:nvCxnSpPr>
        <xdr:cNvPr id="3" name="Straight Connector 2">
          <a:extLst>
            <a:ext uri="{FF2B5EF4-FFF2-40B4-BE49-F238E27FC236}">
              <a16:creationId xmlns:a16="http://schemas.microsoft.com/office/drawing/2014/main" id="{0FC7CE3D-37A2-3D6D-3EF4-98771404B3A6}"/>
            </a:ext>
          </a:extLst>
        </xdr:cNvPr>
        <xdr:cNvCxnSpPr/>
      </xdr:nvCxnSpPr>
      <xdr:spPr>
        <a:xfrm>
          <a:off x="7391400" y="9525"/>
          <a:ext cx="0" cy="95154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0</xdr:colOff>
      <xdr:row>0</xdr:row>
      <xdr:rowOff>0</xdr:rowOff>
    </xdr:from>
    <xdr:to>
      <xdr:col>22</xdr:col>
      <xdr:colOff>9525</xdr:colOff>
      <xdr:row>66</xdr:row>
      <xdr:rowOff>114300</xdr:rowOff>
    </xdr:to>
    <xdr:cxnSp macro="">
      <xdr:nvCxnSpPr>
        <xdr:cNvPr id="5" name="Straight Connector 4">
          <a:extLst>
            <a:ext uri="{FF2B5EF4-FFF2-40B4-BE49-F238E27FC236}">
              <a16:creationId xmlns:a16="http://schemas.microsoft.com/office/drawing/2014/main" id="{1057527E-BA24-47A4-8CA2-FBE0F888EB17}"/>
            </a:ext>
          </a:extLst>
        </xdr:cNvPr>
        <xdr:cNvCxnSpPr/>
      </xdr:nvCxnSpPr>
      <xdr:spPr>
        <a:xfrm flipH="1">
          <a:off x="12820650" y="0"/>
          <a:ext cx="9525" cy="109728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en-GB</v>
    <v>az6g8m</v>
    <v>268435456</v>
    <v>1</v>
    <v>Powered by Refinitiv</v>
    <v>0</v>
    <v>BOOKING HOLDINGS INC. (XNAS:BKNG)</v>
    <v>2</v>
    <v>3</v>
    <v>Finance</v>
    <v>4</v>
    <v>4395</v>
    <v>2756.125</v>
    <v>1.4013</v>
    <v>-13.02</v>
    <v>-2.9949999999999998E-3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4379.99</v>
    <v>Hotels &amp; Entertainment Services</v>
    <v>Stock</v>
    <v>45593.639472870309</v>
    <v>0</v>
    <v>4334.8</v>
    <v>145321525772</v>
    <v>BOOKING HOLDINGS INC.</v>
    <v>BOOKING HOLDINGS INC.</v>
    <v>4379.99</v>
    <v>30.441199999999998</v>
    <v>4347.82</v>
    <v>4334.8</v>
    <v>33524390</v>
    <v>BKNG</v>
    <v>BOOKING HOLDINGS INC. (XNAS:BKNG)</v>
    <v>34579</v>
    <v>167457</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266F-ACCB-40AD-9495-BC99F09AE95B}">
  <dimension ref="A1:L30"/>
  <sheetViews>
    <sheetView tabSelected="1" workbookViewId="0">
      <selection activeCell="F13" sqref="F13"/>
    </sheetView>
  </sheetViews>
  <sheetFormatPr defaultColWidth="9.109375" defaultRowHeight="13.2" x14ac:dyDescent="0.25"/>
  <cols>
    <col min="1" max="1" width="17.44140625" style="1" customWidth="1"/>
    <col min="2" max="2" width="11.33203125" style="1" bestFit="1" customWidth="1"/>
    <col min="3" max="3" width="9.109375" style="1"/>
    <col min="4" max="4" width="12" style="1" bestFit="1" customWidth="1"/>
    <col min="5" max="5" width="11.88671875" style="1" bestFit="1" customWidth="1"/>
    <col min="6" max="10" width="9.109375" style="1"/>
    <col min="11" max="11" width="10.88671875" style="1" bestFit="1" customWidth="1"/>
    <col min="12" max="12" width="9.109375" style="1"/>
    <col min="13" max="13" width="9.109375" style="1" customWidth="1"/>
    <col min="14" max="16384" width="9.109375" style="1"/>
  </cols>
  <sheetData>
    <row r="1" spans="1:12" x14ac:dyDescent="0.25">
      <c r="A1" s="2" t="s">
        <v>0</v>
      </c>
      <c r="B1" s="1" t="e" vm="1">
        <v>#VALUE!</v>
      </c>
    </row>
    <row r="2" spans="1:12" x14ac:dyDescent="0.25">
      <c r="A2" s="2" t="s">
        <v>1</v>
      </c>
      <c r="B2" s="11" cm="1">
        <f t="array" aca="1" ref="B2" ca="1">+_FV(B1,"Price")</f>
        <v>4334.8</v>
      </c>
      <c r="E2" s="2" t="s">
        <v>61</v>
      </c>
      <c r="F2" s="9">
        <f ca="1">+B7/7506</f>
        <v>19.655620488622436</v>
      </c>
      <c r="K2" s="2" t="s">
        <v>75</v>
      </c>
      <c r="L2" s="13">
        <v>1996</v>
      </c>
    </row>
    <row r="3" spans="1:12" x14ac:dyDescent="0.25">
      <c r="A3" s="2" t="s">
        <v>2</v>
      </c>
      <c r="B3" s="1">
        <v>33.927537000000001</v>
      </c>
      <c r="E3" s="2" t="s">
        <v>74</v>
      </c>
      <c r="F3" s="12">
        <f ca="1">7506/B7</f>
        <v>5.0876033172234131E-2</v>
      </c>
      <c r="K3" s="2" t="s">
        <v>76</v>
      </c>
      <c r="L3" s="13" t="s">
        <v>87</v>
      </c>
    </row>
    <row r="4" spans="1:12" x14ac:dyDescent="0.25">
      <c r="A4" s="2" t="s">
        <v>3</v>
      </c>
      <c r="B4" s="3">
        <f ca="1">+B2*B3</f>
        <v>147069.08738760001</v>
      </c>
      <c r="K4" s="2" t="s">
        <v>43</v>
      </c>
      <c r="L4" s="13" t="s">
        <v>78</v>
      </c>
    </row>
    <row r="5" spans="1:12" x14ac:dyDescent="0.25">
      <c r="A5" s="2" t="s">
        <v>4</v>
      </c>
      <c r="B5" s="3">
        <f>15629+362+443</f>
        <v>16434</v>
      </c>
      <c r="K5" s="2" t="s">
        <v>45</v>
      </c>
      <c r="L5" s="14" t="s">
        <v>77</v>
      </c>
    </row>
    <row r="6" spans="1:12" x14ac:dyDescent="0.25">
      <c r="A6" s="2" t="s">
        <v>5</v>
      </c>
      <c r="B6" s="3">
        <f>3462+13438</f>
        <v>16900</v>
      </c>
      <c r="K6" s="2" t="s">
        <v>84</v>
      </c>
      <c r="L6" s="13" t="s">
        <v>85</v>
      </c>
    </row>
    <row r="7" spans="1:12" x14ac:dyDescent="0.25">
      <c r="A7" s="2" t="s">
        <v>6</v>
      </c>
      <c r="B7" s="3">
        <f ca="1">+B4-B5+B6</f>
        <v>147535.08738760001</v>
      </c>
      <c r="K7" s="2" t="s">
        <v>46</v>
      </c>
      <c r="L7" s="13" t="s">
        <v>86</v>
      </c>
    </row>
    <row r="8" spans="1:12" x14ac:dyDescent="0.25">
      <c r="D8" s="8"/>
    </row>
    <row r="9" spans="1:12" x14ac:dyDescent="0.25">
      <c r="A9" s="1" t="s">
        <v>50</v>
      </c>
      <c r="D9" s="8"/>
    </row>
    <row r="10" spans="1:12" x14ac:dyDescent="0.25">
      <c r="D10" s="8"/>
    </row>
    <row r="11" spans="1:12" x14ac:dyDescent="0.25">
      <c r="A11" s="1" t="s">
        <v>40</v>
      </c>
    </row>
    <row r="12" spans="1:12" x14ac:dyDescent="0.25">
      <c r="A12" s="1" t="s">
        <v>35</v>
      </c>
    </row>
    <row r="13" spans="1:12" x14ac:dyDescent="0.25">
      <c r="A13" s="1" t="s">
        <v>36</v>
      </c>
    </row>
    <row r="14" spans="1:12" x14ac:dyDescent="0.25">
      <c r="A14" s="1" t="s">
        <v>37</v>
      </c>
    </row>
    <row r="15" spans="1:12" x14ac:dyDescent="0.25">
      <c r="A15" s="1" t="s">
        <v>38</v>
      </c>
    </row>
    <row r="16" spans="1:12" x14ac:dyDescent="0.25">
      <c r="A16" s="1" t="s">
        <v>39</v>
      </c>
    </row>
    <row r="18" spans="1:1" x14ac:dyDescent="0.25">
      <c r="A18" s="1" t="s">
        <v>41</v>
      </c>
    </row>
    <row r="20" spans="1:1" x14ac:dyDescent="0.25">
      <c r="A20" s="2" t="s">
        <v>79</v>
      </c>
    </row>
    <row r="21" spans="1:1" x14ac:dyDescent="0.25">
      <c r="A21" s="1" t="s">
        <v>80</v>
      </c>
    </row>
    <row r="22" spans="1:1" x14ac:dyDescent="0.25">
      <c r="A22" s="1" t="s">
        <v>81</v>
      </c>
    </row>
    <row r="23" spans="1:1" x14ac:dyDescent="0.25">
      <c r="A23" s="1" t="s">
        <v>82</v>
      </c>
    </row>
    <row r="24" spans="1:1" x14ac:dyDescent="0.25">
      <c r="A24" s="1" t="s">
        <v>83</v>
      </c>
    </row>
    <row r="27" spans="1:1" x14ac:dyDescent="0.25">
      <c r="A27" s="2" t="s">
        <v>88</v>
      </c>
    </row>
    <row r="28" spans="1:1" x14ac:dyDescent="0.25">
      <c r="A28" s="1" t="s">
        <v>89</v>
      </c>
    </row>
    <row r="29" spans="1:1" x14ac:dyDescent="0.25">
      <c r="A29" s="1" t="s">
        <v>90</v>
      </c>
    </row>
    <row r="30" spans="1:1" x14ac:dyDescent="0.25">
      <c r="A30" s="1" t="s">
        <v>91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64DD-6CA7-46CE-BCBA-B91A4C2EFC73}">
  <dimension ref="A1:BA60"/>
  <sheetViews>
    <sheetView zoomScale="90" zoomScaleNormal="90" workbookViewId="0">
      <pane xSplit="1" ySplit="1" topLeftCell="L2" activePane="bottomRight" state="frozen"/>
      <selection pane="topRight" activeCell="B1" sqref="B1"/>
      <selection pane="bottomLeft" activeCell="A2" sqref="A2"/>
      <selection pane="bottomRight" activeCell="AG2" sqref="AG2"/>
    </sheetView>
  </sheetViews>
  <sheetFormatPr defaultColWidth="9.109375" defaultRowHeight="13.2" x14ac:dyDescent="0.25"/>
  <cols>
    <col min="1" max="1" width="18.5546875" style="1" bestFit="1" customWidth="1"/>
    <col min="2" max="5" width="9.109375" style="1" customWidth="1"/>
    <col min="6" max="14" width="9.33203125" style="1" bestFit="1" customWidth="1"/>
    <col min="15" max="16" width="9.109375" style="1"/>
    <col min="17" max="18" width="9.33203125" style="1" bestFit="1" customWidth="1"/>
    <col min="19" max="19" width="10.33203125" style="1" bestFit="1" customWidth="1"/>
    <col min="20" max="20" width="9.6640625" style="1" bestFit="1" customWidth="1"/>
    <col min="21" max="21" width="9.33203125" style="1" bestFit="1" customWidth="1"/>
    <col min="22" max="22" width="9.6640625" style="1" bestFit="1" customWidth="1"/>
    <col min="23" max="23" width="9.33203125" style="1" bestFit="1" customWidth="1"/>
    <col min="24" max="32" width="9.109375" style="1"/>
    <col min="33" max="33" width="11.6640625" style="1" bestFit="1" customWidth="1"/>
    <col min="34" max="36" width="9.109375" style="1"/>
    <col min="37" max="37" width="11.44140625" style="1" bestFit="1" customWidth="1"/>
    <col min="38" max="16384" width="9.109375" style="1"/>
  </cols>
  <sheetData>
    <row r="1" spans="1:33" x14ac:dyDescent="0.25">
      <c r="B1" s="2" t="s">
        <v>47</v>
      </c>
      <c r="C1" s="2" t="s">
        <v>57</v>
      </c>
      <c r="D1" s="2" t="s">
        <v>58</v>
      </c>
      <c r="E1" s="2" t="s">
        <v>59</v>
      </c>
      <c r="F1" s="2" t="s">
        <v>10</v>
      </c>
      <c r="G1" s="2" t="s">
        <v>52</v>
      </c>
      <c r="H1" s="2" t="s">
        <v>55</v>
      </c>
      <c r="I1" s="2" t="s">
        <v>56</v>
      </c>
      <c r="J1" s="2" t="s">
        <v>11</v>
      </c>
      <c r="K1" s="2" t="s">
        <v>51</v>
      </c>
      <c r="L1" s="2" t="s">
        <v>53</v>
      </c>
      <c r="M1" s="2" t="s">
        <v>54</v>
      </c>
      <c r="N1" s="2" t="s">
        <v>12</v>
      </c>
      <c r="O1" s="2"/>
      <c r="P1" s="2"/>
      <c r="Q1" s="2">
        <v>2016</v>
      </c>
      <c r="R1" s="2">
        <f>+Q1+1</f>
        <v>2017</v>
      </c>
      <c r="S1" s="2">
        <f t="shared" ref="S1:T1" si="0">+R1+1</f>
        <v>2018</v>
      </c>
      <c r="T1" s="2">
        <f t="shared" si="0"/>
        <v>2019</v>
      </c>
      <c r="U1" s="2">
        <v>2022</v>
      </c>
      <c r="V1" s="2">
        <v>2023</v>
      </c>
      <c r="W1" s="2">
        <v>2024</v>
      </c>
      <c r="X1" s="2">
        <f>+W1+1</f>
        <v>2025</v>
      </c>
      <c r="Y1" s="2">
        <f t="shared" ref="Y1:AC1" si="1">+X1+1</f>
        <v>2026</v>
      </c>
      <c r="Z1" s="2">
        <f t="shared" si="1"/>
        <v>2027</v>
      </c>
      <c r="AA1" s="2">
        <f t="shared" si="1"/>
        <v>2028</v>
      </c>
      <c r="AB1" s="2">
        <f t="shared" si="1"/>
        <v>2029</v>
      </c>
      <c r="AC1" s="2">
        <f t="shared" si="1"/>
        <v>2030</v>
      </c>
    </row>
    <row r="2" spans="1:33" x14ac:dyDescent="0.25">
      <c r="AF2" s="1" t="s">
        <v>69</v>
      </c>
      <c r="AG2" s="7">
        <v>7.4999999999999997E-2</v>
      </c>
    </row>
    <row r="3" spans="1:33" x14ac:dyDescent="0.25">
      <c r="A3" s="1" t="s">
        <v>7</v>
      </c>
      <c r="B3" s="3">
        <v>1450</v>
      </c>
      <c r="C3" s="3">
        <v>2301</v>
      </c>
      <c r="D3" s="3">
        <v>2614</v>
      </c>
      <c r="E3" s="3">
        <v>1780</v>
      </c>
      <c r="F3" s="3">
        <v>1752</v>
      </c>
      <c r="G3" s="3">
        <v>2770</v>
      </c>
      <c r="H3" s="3">
        <v>3945</v>
      </c>
      <c r="I3" s="3">
        <v>2469</v>
      </c>
      <c r="J3" s="3">
        <v>2388</v>
      </c>
      <c r="K3" s="3">
        <v>3446</v>
      </c>
      <c r="Q3" s="3">
        <v>7982</v>
      </c>
      <c r="R3" s="3">
        <v>9714</v>
      </c>
      <c r="S3" s="3">
        <v>10480</v>
      </c>
      <c r="T3" s="3">
        <v>10117</v>
      </c>
      <c r="U3" s="3">
        <v>7193</v>
      </c>
      <c r="V3" s="3">
        <v>10936</v>
      </c>
      <c r="W3" s="3">
        <f>+V3*1.08</f>
        <v>11810.880000000001</v>
      </c>
      <c r="X3" s="3">
        <f t="shared" ref="X3:AA3" si="2">+W3*1.08</f>
        <v>12755.750400000003</v>
      </c>
      <c r="Y3" s="3">
        <f>+X3*1.11</f>
        <v>14158.882944000004</v>
      </c>
      <c r="Z3" s="3">
        <f t="shared" ref="Z3" si="3">+Y3*1.11</f>
        <v>15716.360067840007</v>
      </c>
      <c r="AA3" s="3">
        <f t="shared" si="2"/>
        <v>16973.668873267208</v>
      </c>
      <c r="AB3" s="3">
        <f>+AA3*1.1</f>
        <v>18671.035760593932</v>
      </c>
      <c r="AC3" s="3">
        <f t="shared" ref="AC3:AC4" si="4">+AB3*1.1</f>
        <v>20538.139336653327</v>
      </c>
      <c r="AF3" s="1" t="s">
        <v>68</v>
      </c>
      <c r="AG3" s="7">
        <v>2.5000000000000001E-2</v>
      </c>
    </row>
    <row r="4" spans="1:33" x14ac:dyDescent="0.25">
      <c r="A4" s="1" t="s">
        <v>8</v>
      </c>
      <c r="B4" s="3">
        <v>1050</v>
      </c>
      <c r="C4" s="3">
        <v>1749</v>
      </c>
      <c r="D4" s="3">
        <v>3203</v>
      </c>
      <c r="E4" s="3">
        <v>2049</v>
      </c>
      <c r="F4" s="3">
        <v>1782</v>
      </c>
      <c r="G4" s="3">
        <v>2429</v>
      </c>
      <c r="H4" s="3">
        <v>3135</v>
      </c>
      <c r="I4" s="3">
        <v>2068</v>
      </c>
      <c r="J4" s="3">
        <v>1763</v>
      </c>
      <c r="K4" s="3">
        <v>2144</v>
      </c>
      <c r="Q4" s="3">
        <v>2048</v>
      </c>
      <c r="R4" s="3">
        <v>2133</v>
      </c>
      <c r="S4" s="3">
        <v>2987</v>
      </c>
      <c r="T4" s="3">
        <v>3830</v>
      </c>
      <c r="U4" s="3">
        <v>9003</v>
      </c>
      <c r="V4" s="3">
        <v>9414</v>
      </c>
      <c r="W4" s="3">
        <f t="shared" ref="W4:X4" si="5">+V4*1.08</f>
        <v>10167.120000000001</v>
      </c>
      <c r="X4" s="3">
        <f t="shared" si="5"/>
        <v>10980.489600000001</v>
      </c>
      <c r="Y4" s="3">
        <f>+X4*1.13</f>
        <v>12407.953248</v>
      </c>
      <c r="Z4" s="3">
        <f>+Y4*1.11</f>
        <v>13772.828105280001</v>
      </c>
      <c r="AA4" s="3">
        <f>+Z4*1.09</f>
        <v>15012.382634755202</v>
      </c>
      <c r="AB4" s="3">
        <f t="shared" ref="AB4" si="6">+AA4*1.1</f>
        <v>16513.620898230725</v>
      </c>
      <c r="AC4" s="3">
        <f t="shared" si="4"/>
        <v>18164.982988053798</v>
      </c>
      <c r="AF4" s="1" t="s">
        <v>67</v>
      </c>
      <c r="AG4" s="6">
        <v>0.05</v>
      </c>
    </row>
    <row r="5" spans="1:33" x14ac:dyDescent="0.25">
      <c r="A5" s="1" t="s">
        <v>9</v>
      </c>
      <c r="B5" s="3">
        <v>195</v>
      </c>
      <c r="C5" s="3">
        <v>244</v>
      </c>
      <c r="D5" s="3">
        <v>235</v>
      </c>
      <c r="E5" s="3">
        <v>220</v>
      </c>
      <c r="F5" s="3">
        <v>244</v>
      </c>
      <c r="G5" s="3">
        <v>263</v>
      </c>
      <c r="H5" s="3">
        <v>261</v>
      </c>
      <c r="I5" s="3">
        <v>247</v>
      </c>
      <c r="J5" s="3">
        <v>264</v>
      </c>
      <c r="K5" s="3">
        <v>269</v>
      </c>
      <c r="Q5" s="3">
        <v>713</v>
      </c>
      <c r="R5" s="3">
        <v>834</v>
      </c>
      <c r="S5" s="3">
        <v>1060</v>
      </c>
      <c r="T5" s="3">
        <v>1119</v>
      </c>
      <c r="U5" s="3">
        <v>894</v>
      </c>
      <c r="V5" s="3">
        <v>1015</v>
      </c>
      <c r="W5" s="3">
        <f>+V5*1.1</f>
        <v>1116.5</v>
      </c>
      <c r="X5" s="3">
        <f t="shared" ref="X5:AC5" si="7">+W5*1.1</f>
        <v>1228.1500000000001</v>
      </c>
      <c r="Y5" s="3">
        <f t="shared" si="7"/>
        <v>1350.9650000000001</v>
      </c>
      <c r="Z5" s="3">
        <f t="shared" si="7"/>
        <v>1486.0615000000003</v>
      </c>
      <c r="AA5" s="3">
        <f t="shared" si="7"/>
        <v>1634.6676500000003</v>
      </c>
      <c r="AB5" s="3">
        <f t="shared" si="7"/>
        <v>1798.1344150000004</v>
      </c>
      <c r="AC5" s="3">
        <f t="shared" si="7"/>
        <v>1977.9478565000006</v>
      </c>
      <c r="AF5" s="1" t="s">
        <v>70</v>
      </c>
      <c r="AG5" s="3">
        <f>+NPV(AG2,W20:BA20)</f>
        <v>153925.48072133242</v>
      </c>
    </row>
    <row r="6" spans="1:33" x14ac:dyDescent="0.25">
      <c r="B6" s="3"/>
      <c r="C6" s="3"/>
      <c r="D6" s="3"/>
      <c r="E6" s="3"/>
      <c r="F6" s="3"/>
      <c r="G6" s="3"/>
      <c r="H6" s="3"/>
      <c r="I6" s="3"/>
      <c r="J6" s="3"/>
      <c r="K6" s="3"/>
      <c r="Q6" s="3"/>
      <c r="R6" s="3"/>
      <c r="S6" s="3"/>
      <c r="T6" s="3"/>
      <c r="U6" s="3"/>
      <c r="V6" s="3"/>
      <c r="W6" s="3"/>
      <c r="X6" s="3"/>
      <c r="Y6" s="3"/>
      <c r="Z6" s="3"/>
      <c r="AA6" s="3"/>
      <c r="AB6" s="3"/>
      <c r="AC6" s="3"/>
      <c r="AF6" s="1" t="s">
        <v>71</v>
      </c>
      <c r="AG6" s="3">
        <f>+K60</f>
        <v>-466</v>
      </c>
    </row>
    <row r="7" spans="1:33" x14ac:dyDescent="0.25">
      <c r="A7" s="2" t="s">
        <v>65</v>
      </c>
      <c r="B7" s="4">
        <f>+SUM(B3:B5)</f>
        <v>2695</v>
      </c>
      <c r="C7" s="4">
        <f t="shared" ref="C7:E7" si="8">+SUM(C3:C5)</f>
        <v>4294</v>
      </c>
      <c r="D7" s="4">
        <f t="shared" si="8"/>
        <v>6052</v>
      </c>
      <c r="E7" s="4">
        <f t="shared" si="8"/>
        <v>4049</v>
      </c>
      <c r="F7" s="4">
        <f>+SUM(F3:F5)</f>
        <v>3778</v>
      </c>
      <c r="G7" s="4">
        <f t="shared" ref="G7:N7" si="9">+SUM(G3:G5)</f>
        <v>5462</v>
      </c>
      <c r="H7" s="4">
        <f t="shared" si="9"/>
        <v>7341</v>
      </c>
      <c r="I7" s="4">
        <f t="shared" si="9"/>
        <v>4784</v>
      </c>
      <c r="J7" s="4">
        <f t="shared" si="9"/>
        <v>4415</v>
      </c>
      <c r="K7" s="4">
        <f t="shared" si="9"/>
        <v>5859</v>
      </c>
      <c r="L7" s="2">
        <f t="shared" si="9"/>
        <v>0</v>
      </c>
      <c r="M7" s="2">
        <f t="shared" si="9"/>
        <v>0</v>
      </c>
      <c r="N7" s="2">
        <f t="shared" si="9"/>
        <v>0</v>
      </c>
      <c r="Q7" s="4">
        <f>+SUM(Q3:Q5)</f>
        <v>10743</v>
      </c>
      <c r="R7" s="4">
        <f>+SUM(R3:R5)</f>
        <v>12681</v>
      </c>
      <c r="S7" s="4">
        <f>+SUM(S3:S5)</f>
        <v>14527</v>
      </c>
      <c r="T7" s="4">
        <f t="shared" ref="T7:AC7" si="10">+SUM(T3:T5)</f>
        <v>15066</v>
      </c>
      <c r="U7" s="4">
        <f t="shared" si="10"/>
        <v>17090</v>
      </c>
      <c r="V7" s="4">
        <f t="shared" si="10"/>
        <v>21365</v>
      </c>
      <c r="W7" s="4">
        <f t="shared" si="10"/>
        <v>23094.5</v>
      </c>
      <c r="X7" s="4">
        <f t="shared" si="10"/>
        <v>24964.390000000007</v>
      </c>
      <c r="Y7" s="4">
        <f t="shared" si="10"/>
        <v>27917.801192000003</v>
      </c>
      <c r="Z7" s="4">
        <f t="shared" si="10"/>
        <v>30975.249673120008</v>
      </c>
      <c r="AA7" s="4">
        <f t="shared" si="10"/>
        <v>33620.71915802241</v>
      </c>
      <c r="AB7" s="4">
        <f t="shared" si="10"/>
        <v>36982.791073824657</v>
      </c>
      <c r="AC7" s="4">
        <f t="shared" si="10"/>
        <v>40681.070181207127</v>
      </c>
      <c r="AF7" s="1" t="s">
        <v>72</v>
      </c>
      <c r="AG7" s="3">
        <f>+AG5+AG6</f>
        <v>153459.48072133242</v>
      </c>
    </row>
    <row r="8" spans="1:33" x14ac:dyDescent="0.25">
      <c r="A8" s="1" t="s">
        <v>13</v>
      </c>
      <c r="B8" s="3">
        <v>1147</v>
      </c>
      <c r="C8" s="3">
        <v>1737</v>
      </c>
      <c r="D8" s="3">
        <v>1795</v>
      </c>
      <c r="E8" s="3">
        <v>1314</v>
      </c>
      <c r="F8" s="3">
        <v>1517</v>
      </c>
      <c r="G8" s="3">
        <v>1801</v>
      </c>
      <c r="H8" s="3">
        <v>2022</v>
      </c>
      <c r="I8" s="3">
        <v>1433</v>
      </c>
      <c r="J8" s="3">
        <v>1610</v>
      </c>
      <c r="K8" s="3">
        <v>1939</v>
      </c>
      <c r="Q8" s="3">
        <f>3479+327+415</f>
        <v>4221</v>
      </c>
      <c r="R8" s="3">
        <f>4161+435+242</f>
        <v>4838</v>
      </c>
      <c r="S8" s="3">
        <f>4447+509</f>
        <v>4956</v>
      </c>
      <c r="T8" s="3">
        <f>4419+548</f>
        <v>4967</v>
      </c>
      <c r="U8" s="3">
        <v>5993</v>
      </c>
      <c r="V8" s="3">
        <v>6773</v>
      </c>
      <c r="W8" s="3">
        <f>+W7*0.31</f>
        <v>7159.2950000000001</v>
      </c>
      <c r="X8" s="3">
        <f>+X7*0.3</f>
        <v>7489.3170000000018</v>
      </c>
      <c r="Y8" s="3">
        <f>+Y7*0.29</f>
        <v>8096.1623456799998</v>
      </c>
      <c r="Z8" s="3">
        <f>+Z7*0.28</f>
        <v>8673.0699084736025</v>
      </c>
      <c r="AA8" s="3">
        <f t="shared" ref="AA8:AC8" si="11">+AA7*0.28</f>
        <v>9413.8013642462756</v>
      </c>
      <c r="AB8" s="3">
        <f t="shared" si="11"/>
        <v>10355.181500670906</v>
      </c>
      <c r="AC8" s="3">
        <f t="shared" si="11"/>
        <v>11390.699650737997</v>
      </c>
      <c r="AF8" s="1" t="s">
        <v>73</v>
      </c>
      <c r="AG8" s="10">
        <f>+AG7/main!B3</f>
        <v>4523.1541777209595</v>
      </c>
    </row>
    <row r="9" spans="1:33" x14ac:dyDescent="0.25">
      <c r="A9" s="1" t="s">
        <v>14</v>
      </c>
      <c r="B9" s="3">
        <v>339</v>
      </c>
      <c r="C9" s="3">
        <v>465</v>
      </c>
      <c r="D9" s="3">
        <v>540</v>
      </c>
      <c r="E9" s="3">
        <v>511</v>
      </c>
      <c r="F9" s="3">
        <v>570</v>
      </c>
      <c r="G9" s="3">
        <v>717</v>
      </c>
      <c r="H9" s="3">
        <v>723</v>
      </c>
      <c r="I9" s="3">
        <v>650</v>
      </c>
      <c r="J9" s="3">
        <v>678</v>
      </c>
      <c r="K9" s="3">
        <v>820</v>
      </c>
      <c r="Q9" s="3">
        <v>422</v>
      </c>
      <c r="R9" s="3">
        <v>517</v>
      </c>
      <c r="S9" s="3">
        <v>830</v>
      </c>
      <c r="T9" s="3">
        <v>955</v>
      </c>
      <c r="U9" s="3">
        <v>1986</v>
      </c>
      <c r="V9" s="3">
        <v>2744</v>
      </c>
      <c r="W9" s="3">
        <f>+W7*0.128</f>
        <v>2956.096</v>
      </c>
      <c r="X9" s="3">
        <f>+X7*0.125</f>
        <v>3120.5487500000008</v>
      </c>
      <c r="Y9" s="3">
        <f>+Y7*0.123</f>
        <v>3433.8895466160002</v>
      </c>
      <c r="Z9" s="3">
        <f t="shared" ref="Z9" si="12">+Z7*0.123</f>
        <v>3809.9557097937609</v>
      </c>
      <c r="AA9" s="3">
        <f>+AA7*0.12</f>
        <v>4034.486298962689</v>
      </c>
      <c r="AB9" s="3">
        <f t="shared" ref="AB9:AC9" si="13">+AB7*0.12</f>
        <v>4437.9349288589583</v>
      </c>
      <c r="AC9" s="3">
        <f t="shared" si="13"/>
        <v>4881.728421744855</v>
      </c>
    </row>
    <row r="10" spans="1:33" x14ac:dyDescent="0.25">
      <c r="A10" s="1" t="s">
        <v>15</v>
      </c>
      <c r="B10" s="3">
        <v>596</v>
      </c>
      <c r="C10" s="3">
        <v>635</v>
      </c>
      <c r="D10" s="3">
        <v>636</v>
      </c>
      <c r="E10" s="3">
        <v>598</v>
      </c>
      <c r="F10" s="3">
        <v>722</v>
      </c>
      <c r="G10" s="3">
        <v>752</v>
      </c>
      <c r="H10" s="3">
        <v>788</v>
      </c>
      <c r="I10" s="3">
        <v>1032</v>
      </c>
      <c r="J10" s="3">
        <v>826</v>
      </c>
      <c r="K10" s="3">
        <v>807</v>
      </c>
      <c r="Q10" s="3">
        <v>1350</v>
      </c>
      <c r="R10" s="3">
        <v>1660</v>
      </c>
      <c r="S10" s="3">
        <v>2042</v>
      </c>
      <c r="T10" s="3">
        <v>2248</v>
      </c>
      <c r="U10" s="3">
        <v>2465</v>
      </c>
      <c r="V10" s="3">
        <v>3294</v>
      </c>
      <c r="W10" s="3">
        <f>+W7*0.15</f>
        <v>3464.1749999999997</v>
      </c>
      <c r="X10" s="3">
        <f>+X7*0.145</f>
        <v>3619.8365500000009</v>
      </c>
      <c r="Y10" s="3">
        <f>+Y7*0.14</f>
        <v>3908.4921668800007</v>
      </c>
      <c r="Z10" s="3">
        <f t="shared" ref="Z10:AC10" si="14">+Z7*0.14</f>
        <v>4336.5349542368012</v>
      </c>
      <c r="AA10" s="3">
        <f t="shared" si="14"/>
        <v>4706.9006821231378</v>
      </c>
      <c r="AB10" s="3">
        <f t="shared" si="14"/>
        <v>5177.5907503354529</v>
      </c>
      <c r="AC10" s="3">
        <f t="shared" si="14"/>
        <v>5695.3498253689986</v>
      </c>
    </row>
    <row r="11" spans="1:33" x14ac:dyDescent="0.25">
      <c r="A11" s="1" t="s">
        <v>16</v>
      </c>
      <c r="B11" s="3">
        <v>158</v>
      </c>
      <c r="C11" s="3">
        <v>207</v>
      </c>
      <c r="D11" s="3">
        <v>262</v>
      </c>
      <c r="E11" s="3">
        <v>270</v>
      </c>
      <c r="F11" s="3">
        <v>262</v>
      </c>
      <c r="G11" s="3">
        <v>254</v>
      </c>
      <c r="H11" s="3">
        <v>387</v>
      </c>
      <c r="I11" s="3">
        <v>738</v>
      </c>
      <c r="J11" s="3">
        <v>186</v>
      </c>
      <c r="K11" s="3">
        <v>112</v>
      </c>
      <c r="Q11" s="3">
        <v>452</v>
      </c>
      <c r="R11" s="3">
        <v>576</v>
      </c>
      <c r="S11" s="3">
        <v>699</v>
      </c>
      <c r="T11" s="3">
        <v>797</v>
      </c>
      <c r="U11" s="3">
        <v>766</v>
      </c>
      <c r="V11" s="3">
        <v>1555</v>
      </c>
      <c r="W11" s="3">
        <f>+W7*0.07</f>
        <v>1616.6150000000002</v>
      </c>
      <c r="X11" s="3">
        <f t="shared" ref="X11:AC11" si="15">+X7*0.07</f>
        <v>1747.5073000000007</v>
      </c>
      <c r="Y11" s="3">
        <f t="shared" si="15"/>
        <v>1954.2460834400003</v>
      </c>
      <c r="Z11" s="3">
        <f t="shared" si="15"/>
        <v>2168.2674771184006</v>
      </c>
      <c r="AA11" s="3">
        <f t="shared" si="15"/>
        <v>2353.4503410615689</v>
      </c>
      <c r="AB11" s="3">
        <f t="shared" si="15"/>
        <v>2588.7953751677264</v>
      </c>
      <c r="AC11" s="3">
        <f t="shared" si="15"/>
        <v>2847.6749126844993</v>
      </c>
    </row>
    <row r="12" spans="1:33" x14ac:dyDescent="0.25">
      <c r="A12" s="1" t="s">
        <v>17</v>
      </c>
      <c r="B12" s="3">
        <v>134</v>
      </c>
      <c r="C12" s="3">
        <v>137</v>
      </c>
      <c r="D12" s="3">
        <v>129</v>
      </c>
      <c r="E12" s="3">
        <v>126</v>
      </c>
      <c r="F12" s="3">
        <v>137</v>
      </c>
      <c r="G12" s="3">
        <v>144</v>
      </c>
      <c r="H12" s="3">
        <v>187</v>
      </c>
      <c r="I12" s="3">
        <v>187</v>
      </c>
      <c r="J12" s="3">
        <v>187</v>
      </c>
      <c r="K12" s="3">
        <v>183</v>
      </c>
      <c r="Q12" s="3">
        <v>142</v>
      </c>
      <c r="R12" s="3">
        <v>189</v>
      </c>
      <c r="S12" s="3">
        <v>233</v>
      </c>
      <c r="T12" s="3">
        <v>285</v>
      </c>
      <c r="U12" s="3">
        <v>526</v>
      </c>
      <c r="V12" s="3">
        <v>655</v>
      </c>
      <c r="W12" s="3">
        <f>+W7*0.03</f>
        <v>692.83499999999992</v>
      </c>
      <c r="X12" s="3">
        <f t="shared" ref="X12:AC12" si="16">+X7*0.03</f>
        <v>748.93170000000021</v>
      </c>
      <c r="Y12" s="3">
        <f t="shared" si="16"/>
        <v>837.53403576000005</v>
      </c>
      <c r="Z12" s="3">
        <f t="shared" si="16"/>
        <v>929.25749019360023</v>
      </c>
      <c r="AA12" s="3">
        <f t="shared" si="16"/>
        <v>1008.6215747406723</v>
      </c>
      <c r="AB12" s="3">
        <f t="shared" si="16"/>
        <v>1109.4837322147396</v>
      </c>
      <c r="AC12" s="3">
        <f t="shared" si="16"/>
        <v>1220.4321054362138</v>
      </c>
    </row>
    <row r="13" spans="1:33" x14ac:dyDescent="0.25">
      <c r="A13" s="1" t="s">
        <v>18</v>
      </c>
      <c r="B13" s="3">
        <f>111+36</f>
        <v>147</v>
      </c>
      <c r="C13" s="3">
        <f>107+6</f>
        <v>113</v>
      </c>
      <c r="D13" s="3">
        <v>109</v>
      </c>
      <c r="E13" s="3">
        <f>124-239</f>
        <v>-115</v>
      </c>
      <c r="F13" s="3">
        <v>120</v>
      </c>
      <c r="G13" s="3">
        <v>121</v>
      </c>
      <c r="H13" s="3">
        <v>129</v>
      </c>
      <c r="I13" s="3">
        <v>134</v>
      </c>
      <c r="J13" s="3">
        <v>137</v>
      </c>
      <c r="K13" s="3">
        <v>142</v>
      </c>
      <c r="Q13" s="3">
        <f>309+941</f>
        <v>1250</v>
      </c>
      <c r="R13" s="3">
        <v>363</v>
      </c>
      <c r="S13" s="3">
        <v>426</v>
      </c>
      <c r="T13" s="3">
        <v>469</v>
      </c>
      <c r="U13" s="3">
        <v>451</v>
      </c>
      <c r="V13" s="3">
        <v>504</v>
      </c>
      <c r="W13" s="3">
        <f>+V13*1.1</f>
        <v>554.40000000000009</v>
      </c>
      <c r="X13" s="3">
        <f>+W13*1.08</f>
        <v>598.75200000000018</v>
      </c>
      <c r="Y13" s="3">
        <f>+X13*1.05</f>
        <v>628.68960000000027</v>
      </c>
      <c r="Z13" s="3">
        <f t="shared" ref="Z13:AC13" si="17">+Y13*1.05</f>
        <v>660.12408000000028</v>
      </c>
      <c r="AA13" s="3">
        <f t="shared" si="17"/>
        <v>693.1302840000003</v>
      </c>
      <c r="AB13" s="3">
        <f t="shared" si="17"/>
        <v>727.78679820000036</v>
      </c>
      <c r="AC13" s="3">
        <f t="shared" si="17"/>
        <v>764.17613811000047</v>
      </c>
    </row>
    <row r="14" spans="1:33" x14ac:dyDescent="0.25">
      <c r="A14" s="2" t="s">
        <v>19</v>
      </c>
      <c r="B14" s="4">
        <f>+SUM(B8:B13)</f>
        <v>2521</v>
      </c>
      <c r="C14" s="4">
        <f t="shared" ref="C14:E14" si="18">+SUM(C8:C13)</f>
        <v>3294</v>
      </c>
      <c r="D14" s="4">
        <f t="shared" si="18"/>
        <v>3471</v>
      </c>
      <c r="E14" s="4">
        <f t="shared" si="18"/>
        <v>2704</v>
      </c>
      <c r="F14" s="4">
        <f>+SUM(F8:F13)</f>
        <v>3328</v>
      </c>
      <c r="G14" s="4">
        <f t="shared" ref="G14:N14" si="19">+SUM(G8:G13)</f>
        <v>3789</v>
      </c>
      <c r="H14" s="4">
        <f t="shared" si="19"/>
        <v>4236</v>
      </c>
      <c r="I14" s="4">
        <f t="shared" si="19"/>
        <v>4174</v>
      </c>
      <c r="J14" s="4">
        <f t="shared" si="19"/>
        <v>3624</v>
      </c>
      <c r="K14" s="4">
        <f t="shared" si="19"/>
        <v>4003</v>
      </c>
      <c r="L14" s="2">
        <f t="shared" si="19"/>
        <v>0</v>
      </c>
      <c r="M14" s="2">
        <f t="shared" si="19"/>
        <v>0</v>
      </c>
      <c r="N14" s="2">
        <f t="shared" si="19"/>
        <v>0</v>
      </c>
      <c r="Q14" s="4">
        <f t="shared" ref="Q14" si="20">+SUM(Q8:Q13)</f>
        <v>7837</v>
      </c>
      <c r="R14" s="4">
        <f t="shared" ref="R14" si="21">+SUM(R8:R13)</f>
        <v>8143</v>
      </c>
      <c r="S14" s="4">
        <f t="shared" ref="S14" si="22">+SUM(S8:S13)</f>
        <v>9186</v>
      </c>
      <c r="T14" s="4">
        <f t="shared" ref="T14" si="23">+SUM(T8:T13)</f>
        <v>9721</v>
      </c>
      <c r="U14" s="4">
        <f t="shared" ref="U14:W14" si="24">+SUM(U8:U13)</f>
        <v>12187</v>
      </c>
      <c r="V14" s="4">
        <f t="shared" si="24"/>
        <v>15525</v>
      </c>
      <c r="W14" s="4">
        <f t="shared" si="24"/>
        <v>16443.415999999997</v>
      </c>
      <c r="X14" s="4">
        <f t="shared" ref="X14:AC14" si="25">+SUM(X8:X13)</f>
        <v>17324.893300000007</v>
      </c>
      <c r="Y14" s="4">
        <f t="shared" si="25"/>
        <v>18859.013778376004</v>
      </c>
      <c r="Z14" s="4">
        <f t="shared" si="25"/>
        <v>20577.209619816163</v>
      </c>
      <c r="AA14" s="4">
        <f t="shared" si="25"/>
        <v>22210.390545134342</v>
      </c>
      <c r="AB14" s="4">
        <f t="shared" si="25"/>
        <v>24396.773085447781</v>
      </c>
      <c r="AC14" s="4">
        <f t="shared" si="25"/>
        <v>26800.061054082566</v>
      </c>
    </row>
    <row r="15" spans="1:33" x14ac:dyDescent="0.25">
      <c r="A15" s="2" t="s">
        <v>20</v>
      </c>
      <c r="B15" s="4">
        <f t="shared" ref="B15:N15" si="26">+B7-B14</f>
        <v>174</v>
      </c>
      <c r="C15" s="4">
        <f t="shared" si="26"/>
        <v>1000</v>
      </c>
      <c r="D15" s="4">
        <f t="shared" si="26"/>
        <v>2581</v>
      </c>
      <c r="E15" s="4">
        <f t="shared" si="26"/>
        <v>1345</v>
      </c>
      <c r="F15" s="4">
        <f t="shared" si="26"/>
        <v>450</v>
      </c>
      <c r="G15" s="4">
        <f t="shared" si="26"/>
        <v>1673</v>
      </c>
      <c r="H15" s="4">
        <f t="shared" si="26"/>
        <v>3105</v>
      </c>
      <c r="I15" s="4">
        <f t="shared" si="26"/>
        <v>610</v>
      </c>
      <c r="J15" s="4">
        <f t="shared" si="26"/>
        <v>791</v>
      </c>
      <c r="K15" s="4">
        <f t="shared" si="26"/>
        <v>1856</v>
      </c>
      <c r="L15" s="2">
        <f t="shared" si="26"/>
        <v>0</v>
      </c>
      <c r="M15" s="2">
        <f t="shared" si="26"/>
        <v>0</v>
      </c>
      <c r="N15" s="2">
        <f t="shared" si="26"/>
        <v>0</v>
      </c>
      <c r="Q15" s="4">
        <f t="shared" ref="Q15:AC15" si="27">+Q7-Q14</f>
        <v>2906</v>
      </c>
      <c r="R15" s="4">
        <f t="shared" si="27"/>
        <v>4538</v>
      </c>
      <c r="S15" s="4">
        <f t="shared" si="27"/>
        <v>5341</v>
      </c>
      <c r="T15" s="4">
        <f t="shared" si="27"/>
        <v>5345</v>
      </c>
      <c r="U15" s="4">
        <f t="shared" si="27"/>
        <v>4903</v>
      </c>
      <c r="V15" s="4">
        <f t="shared" si="27"/>
        <v>5840</v>
      </c>
      <c r="W15" s="4">
        <f t="shared" si="27"/>
        <v>6651.0840000000026</v>
      </c>
      <c r="X15" s="4">
        <f t="shared" si="27"/>
        <v>7639.4966999999997</v>
      </c>
      <c r="Y15" s="4">
        <f t="shared" si="27"/>
        <v>9058.7874136239989</v>
      </c>
      <c r="Z15" s="4">
        <f t="shared" si="27"/>
        <v>10398.040053303845</v>
      </c>
      <c r="AA15" s="4">
        <f t="shared" si="27"/>
        <v>11410.328612888068</v>
      </c>
      <c r="AB15" s="4">
        <f t="shared" si="27"/>
        <v>12586.017988376876</v>
      </c>
      <c r="AC15" s="4">
        <f t="shared" si="27"/>
        <v>13881.009127124562</v>
      </c>
    </row>
    <row r="16" spans="1:33" x14ac:dyDescent="0.25">
      <c r="A16" s="1" t="s">
        <v>21</v>
      </c>
      <c r="B16" s="3">
        <v>-68</v>
      </c>
      <c r="C16" s="3">
        <v>-76</v>
      </c>
      <c r="D16" s="3">
        <v>-102</v>
      </c>
      <c r="E16" s="3">
        <v>-145</v>
      </c>
      <c r="F16" s="3">
        <f>-194+228</f>
        <v>34</v>
      </c>
      <c r="G16" s="3">
        <f>266-241</f>
        <v>25</v>
      </c>
      <c r="H16" s="3">
        <v>-254</v>
      </c>
      <c r="I16" s="3">
        <v>-208</v>
      </c>
      <c r="J16" s="3">
        <f>-219+243</f>
        <v>24</v>
      </c>
      <c r="K16" s="3">
        <f>293-264</f>
        <v>29</v>
      </c>
      <c r="Q16" s="3">
        <f>95-208</f>
        <v>-113</v>
      </c>
      <c r="R16" s="3">
        <f>157-254</f>
        <v>-97</v>
      </c>
      <c r="S16" s="3">
        <f>187-269</f>
        <v>-82</v>
      </c>
      <c r="T16" s="3">
        <f>152-266</f>
        <v>-114</v>
      </c>
      <c r="U16" s="3">
        <v>-391</v>
      </c>
      <c r="V16" s="3">
        <v>-897</v>
      </c>
      <c r="W16" s="3"/>
      <c r="X16" s="3"/>
      <c r="Y16" s="3"/>
      <c r="Z16" s="3"/>
      <c r="AA16" s="3"/>
      <c r="AB16" s="3"/>
      <c r="AC16" s="3"/>
    </row>
    <row r="17" spans="1:53" x14ac:dyDescent="0.25">
      <c r="A17" s="1" t="s">
        <v>22</v>
      </c>
      <c r="B17" s="3">
        <v>-955</v>
      </c>
      <c r="C17" s="3">
        <v>220</v>
      </c>
      <c r="D17" s="3">
        <v>-305</v>
      </c>
      <c r="E17" s="3">
        <v>252</v>
      </c>
      <c r="F17" s="3">
        <v>-181</v>
      </c>
      <c r="G17" s="3">
        <v>-80</v>
      </c>
      <c r="H17" s="3">
        <v>300</v>
      </c>
      <c r="I17" s="3">
        <v>10</v>
      </c>
      <c r="J17" s="3">
        <v>122</v>
      </c>
      <c r="K17" s="3">
        <v>37</v>
      </c>
      <c r="Q17" s="3">
        <f>-63-17</f>
        <v>-80</v>
      </c>
      <c r="R17" s="3">
        <f>-8-34</f>
        <v>-42</v>
      </c>
      <c r="S17" s="3">
        <f>-367-57</f>
        <v>-424</v>
      </c>
      <c r="T17" s="3">
        <f>745-18</f>
        <v>727</v>
      </c>
      <c r="U17" s="3">
        <v>-788</v>
      </c>
      <c r="V17" s="3">
        <v>543</v>
      </c>
      <c r="W17" s="3"/>
      <c r="X17" s="3">
        <f>+W60*$AG$4</f>
        <v>239.4178180000001</v>
      </c>
      <c r="Y17" s="3">
        <f t="shared" ref="Y17:AC17" si="28">+X60*$AG$4</f>
        <v>550.63494146100004</v>
      </c>
      <c r="Z17" s="3">
        <f t="shared" si="28"/>
        <v>930.20712448685742</v>
      </c>
      <c r="AA17" s="3">
        <f t="shared" si="28"/>
        <v>1377.67288800959</v>
      </c>
      <c r="AB17" s="3">
        <f t="shared" si="28"/>
        <v>1882.7989472950476</v>
      </c>
      <c r="AC17" s="3">
        <f t="shared" si="28"/>
        <v>2454.3172162540882</v>
      </c>
    </row>
    <row r="18" spans="1:53" x14ac:dyDescent="0.25">
      <c r="A18" s="1" t="s">
        <v>23</v>
      </c>
      <c r="B18" s="3">
        <f>+B15+B16+B17</f>
        <v>-849</v>
      </c>
      <c r="C18" s="3">
        <f t="shared" ref="C18:E18" si="29">+C15+C16+C17</f>
        <v>1144</v>
      </c>
      <c r="D18" s="3">
        <f t="shared" si="29"/>
        <v>2174</v>
      </c>
      <c r="E18" s="3">
        <f t="shared" si="29"/>
        <v>1452</v>
      </c>
      <c r="F18" s="3">
        <f>+F15+F16+F17</f>
        <v>303</v>
      </c>
      <c r="G18" s="3">
        <f t="shared" ref="G18:N18" si="30">+G15+G16+G17</f>
        <v>1618</v>
      </c>
      <c r="H18" s="3">
        <f t="shared" si="30"/>
        <v>3151</v>
      </c>
      <c r="I18" s="3">
        <f t="shared" si="30"/>
        <v>412</v>
      </c>
      <c r="J18" s="3">
        <f t="shared" si="30"/>
        <v>937</v>
      </c>
      <c r="K18" s="3">
        <f t="shared" si="30"/>
        <v>1922</v>
      </c>
      <c r="L18" s="1">
        <f t="shared" si="30"/>
        <v>0</v>
      </c>
      <c r="M18" s="1">
        <f t="shared" si="30"/>
        <v>0</v>
      </c>
      <c r="N18" s="1">
        <f t="shared" si="30"/>
        <v>0</v>
      </c>
      <c r="Q18" s="3">
        <f t="shared" ref="Q18" si="31">+Q15+Q16+Q17</f>
        <v>2713</v>
      </c>
      <c r="R18" s="3">
        <f t="shared" ref="R18" si="32">+R15+R16+R17</f>
        <v>4399</v>
      </c>
      <c r="S18" s="3">
        <f t="shared" ref="S18" si="33">+S15+S16+S17</f>
        <v>4835</v>
      </c>
      <c r="T18" s="3">
        <f t="shared" ref="T18:AC18" si="34">+T15+T16+T17</f>
        <v>5958</v>
      </c>
      <c r="U18" s="3">
        <f t="shared" si="34"/>
        <v>3724</v>
      </c>
      <c r="V18" s="3">
        <f t="shared" si="34"/>
        <v>5486</v>
      </c>
      <c r="W18" s="3">
        <f t="shared" si="34"/>
        <v>6651.0840000000026</v>
      </c>
      <c r="X18" s="3">
        <f t="shared" si="34"/>
        <v>7878.9145179999996</v>
      </c>
      <c r="Y18" s="3">
        <f t="shared" si="34"/>
        <v>9609.4223550849983</v>
      </c>
      <c r="Z18" s="3">
        <f t="shared" si="34"/>
        <v>11328.247177790701</v>
      </c>
      <c r="AA18" s="3">
        <f t="shared" si="34"/>
        <v>12788.001500897659</v>
      </c>
      <c r="AB18" s="3">
        <f t="shared" si="34"/>
        <v>14468.816935671923</v>
      </c>
      <c r="AC18" s="3">
        <f t="shared" si="34"/>
        <v>16335.326343378651</v>
      </c>
    </row>
    <row r="19" spans="1:53" x14ac:dyDescent="0.25">
      <c r="A19" s="1" t="s">
        <v>24</v>
      </c>
      <c r="B19" s="3">
        <v>-149</v>
      </c>
      <c r="C19" s="3">
        <v>287</v>
      </c>
      <c r="D19" s="3">
        <v>510</v>
      </c>
      <c r="E19" s="3">
        <v>217</v>
      </c>
      <c r="F19" s="3">
        <v>37</v>
      </c>
      <c r="G19" s="3">
        <v>328</v>
      </c>
      <c r="H19" s="3">
        <v>638</v>
      </c>
      <c r="I19" s="3">
        <v>189</v>
      </c>
      <c r="J19" s="3">
        <v>161</v>
      </c>
      <c r="K19" s="3">
        <v>401</v>
      </c>
      <c r="Q19" s="3">
        <v>578</v>
      </c>
      <c r="R19" s="3">
        <v>2058</v>
      </c>
      <c r="S19" s="3">
        <v>837</v>
      </c>
      <c r="T19" s="3">
        <v>1093</v>
      </c>
      <c r="U19" s="3">
        <v>865</v>
      </c>
      <c r="V19" s="3">
        <v>1192</v>
      </c>
      <c r="W19" s="3">
        <f>+W18*0.21</f>
        <v>1396.7276400000005</v>
      </c>
      <c r="X19" s="3">
        <f t="shared" ref="X19:AC19" si="35">+X18*0.21</f>
        <v>1654.5720487799999</v>
      </c>
      <c r="Y19" s="3">
        <f t="shared" si="35"/>
        <v>2017.9786945678495</v>
      </c>
      <c r="Z19" s="3">
        <f t="shared" si="35"/>
        <v>2378.9319073360471</v>
      </c>
      <c r="AA19" s="3">
        <f t="shared" si="35"/>
        <v>2685.4803151885085</v>
      </c>
      <c r="AB19" s="3">
        <f t="shared" si="35"/>
        <v>3038.4515564911035</v>
      </c>
      <c r="AC19" s="3">
        <f t="shared" si="35"/>
        <v>3430.4185321095165</v>
      </c>
    </row>
    <row r="20" spans="1:53" x14ac:dyDescent="0.25">
      <c r="A20" s="2" t="s">
        <v>25</v>
      </c>
      <c r="B20" s="4">
        <f>+B18-B19</f>
        <v>-700</v>
      </c>
      <c r="C20" s="4">
        <f t="shared" ref="C20:E20" si="36">+C18-C19</f>
        <v>857</v>
      </c>
      <c r="D20" s="4">
        <f t="shared" si="36"/>
        <v>1664</v>
      </c>
      <c r="E20" s="4">
        <f t="shared" si="36"/>
        <v>1235</v>
      </c>
      <c r="F20" s="4">
        <f>+F18-F19</f>
        <v>266</v>
      </c>
      <c r="G20" s="4">
        <f t="shared" ref="G20:N20" si="37">+G18-G19</f>
        <v>1290</v>
      </c>
      <c r="H20" s="4">
        <f t="shared" si="37"/>
        <v>2513</v>
      </c>
      <c r="I20" s="4">
        <f t="shared" si="37"/>
        <v>223</v>
      </c>
      <c r="J20" s="4">
        <f t="shared" si="37"/>
        <v>776</v>
      </c>
      <c r="K20" s="4">
        <f t="shared" si="37"/>
        <v>1521</v>
      </c>
      <c r="L20" s="2">
        <f t="shared" si="37"/>
        <v>0</v>
      </c>
      <c r="M20" s="2">
        <f t="shared" si="37"/>
        <v>0</v>
      </c>
      <c r="N20" s="2">
        <f t="shared" si="37"/>
        <v>0</v>
      </c>
      <c r="Q20" s="4">
        <f t="shared" ref="Q20" si="38">+Q18-Q19</f>
        <v>2135</v>
      </c>
      <c r="R20" s="4">
        <f t="shared" ref="R20" si="39">+R18-R19</f>
        <v>2341</v>
      </c>
      <c r="S20" s="4">
        <f t="shared" ref="S20" si="40">+S18-S19</f>
        <v>3998</v>
      </c>
      <c r="T20" s="4">
        <f t="shared" ref="T20:AC20" si="41">+T18-T19</f>
        <v>4865</v>
      </c>
      <c r="U20" s="4">
        <f t="shared" si="41"/>
        <v>2859</v>
      </c>
      <c r="V20" s="4">
        <f t="shared" si="41"/>
        <v>4294</v>
      </c>
      <c r="W20" s="4">
        <f t="shared" si="41"/>
        <v>5254.3563600000016</v>
      </c>
      <c r="X20" s="4">
        <f t="shared" si="41"/>
        <v>6224.3424692199997</v>
      </c>
      <c r="Y20" s="4">
        <f t="shared" si="41"/>
        <v>7591.4436605171486</v>
      </c>
      <c r="Z20" s="4">
        <f t="shared" si="41"/>
        <v>8949.3152704546537</v>
      </c>
      <c r="AA20" s="4">
        <f t="shared" si="41"/>
        <v>10102.521185709151</v>
      </c>
      <c r="AB20" s="4">
        <f t="shared" si="41"/>
        <v>11430.365379180819</v>
      </c>
      <c r="AC20" s="4">
        <f t="shared" si="41"/>
        <v>12904.907811269135</v>
      </c>
      <c r="AD20" s="3">
        <f>+AC20*(1+$AG$3)</f>
        <v>13227.530506550862</v>
      </c>
      <c r="AE20" s="3">
        <f t="shared" ref="AE20:BA20" si="42">+AD20*(1+$AG$3)</f>
        <v>13558.218769214633</v>
      </c>
      <c r="AF20" s="3">
        <f t="shared" si="42"/>
        <v>13897.174238444997</v>
      </c>
      <c r="AG20" s="3">
        <f t="shared" si="42"/>
        <v>14244.60359440612</v>
      </c>
      <c r="AH20" s="3">
        <f t="shared" si="42"/>
        <v>14600.718684266272</v>
      </c>
      <c r="AI20" s="3">
        <f t="shared" si="42"/>
        <v>14965.736651372928</v>
      </c>
      <c r="AJ20" s="3">
        <f t="shared" si="42"/>
        <v>15339.88006765725</v>
      </c>
      <c r="AK20" s="3">
        <f t="shared" si="42"/>
        <v>15723.37706934868</v>
      </c>
      <c r="AL20" s="3">
        <f t="shared" si="42"/>
        <v>16116.461496082396</v>
      </c>
      <c r="AM20" s="3">
        <f t="shared" si="42"/>
        <v>16519.373033484455</v>
      </c>
      <c r="AN20" s="3">
        <f t="shared" si="42"/>
        <v>16932.357359321566</v>
      </c>
      <c r="AO20" s="3">
        <f t="shared" si="42"/>
        <v>17355.666293304603</v>
      </c>
      <c r="AP20" s="3">
        <f t="shared" si="42"/>
        <v>17789.557950637216</v>
      </c>
      <c r="AQ20" s="3">
        <f t="shared" si="42"/>
        <v>18234.296899403143</v>
      </c>
      <c r="AR20" s="3">
        <f t="shared" si="42"/>
        <v>18690.154321888222</v>
      </c>
      <c r="AS20" s="3">
        <f t="shared" si="42"/>
        <v>19157.408179935424</v>
      </c>
      <c r="AT20" s="3">
        <f t="shared" si="42"/>
        <v>19636.343384433807</v>
      </c>
      <c r="AU20" s="3">
        <f t="shared" si="42"/>
        <v>20127.25196904465</v>
      </c>
      <c r="AV20" s="3">
        <f t="shared" si="42"/>
        <v>20630.433268270765</v>
      </c>
      <c r="AW20" s="3">
        <f t="shared" si="42"/>
        <v>21146.194099977532</v>
      </c>
      <c r="AX20" s="3">
        <f t="shared" si="42"/>
        <v>21674.848952476968</v>
      </c>
      <c r="AY20" s="3">
        <f t="shared" si="42"/>
        <v>22216.720176288891</v>
      </c>
      <c r="AZ20" s="3">
        <f t="shared" si="42"/>
        <v>22772.138180696111</v>
      </c>
      <c r="BA20" s="3">
        <f t="shared" si="42"/>
        <v>23341.441635213512</v>
      </c>
    </row>
    <row r="21" spans="1:53" x14ac:dyDescent="0.25">
      <c r="A21" s="1" t="s">
        <v>26</v>
      </c>
      <c r="B21" s="3">
        <v>40.920999999999999</v>
      </c>
      <c r="C21" s="3">
        <v>40.664999999999999</v>
      </c>
      <c r="D21" s="3">
        <v>39.670999999999999</v>
      </c>
      <c r="E21" s="3">
        <v>38.709000000000003</v>
      </c>
      <c r="F21" s="1">
        <v>37.982999999999997</v>
      </c>
      <c r="G21" s="1">
        <v>36.963999999999999</v>
      </c>
      <c r="H21" s="3">
        <v>35.987000000000002</v>
      </c>
      <c r="I21" s="3">
        <v>35.222000000000001</v>
      </c>
      <c r="J21" s="1">
        <v>34.621000000000002</v>
      </c>
      <c r="K21" s="1">
        <v>34.267000000000003</v>
      </c>
      <c r="Q21" s="3">
        <v>50.063000000000002</v>
      </c>
      <c r="R21" s="3">
        <v>49.954000000000001</v>
      </c>
      <c r="S21" s="3">
        <v>48.017000000000003</v>
      </c>
      <c r="T21" s="3">
        <v>43.509</v>
      </c>
      <c r="U21" s="3">
        <v>40.052</v>
      </c>
      <c r="V21" s="3">
        <v>36.53</v>
      </c>
      <c r="W21" s="3">
        <f>+V21*0.97</f>
        <v>35.434100000000001</v>
      </c>
      <c r="X21" s="3">
        <f t="shared" ref="X21:AC21" si="43">+W21*0.97</f>
        <v>34.371077</v>
      </c>
      <c r="Y21" s="3">
        <f t="shared" si="43"/>
        <v>33.339944689999996</v>
      </c>
      <c r="Z21" s="3">
        <f t="shared" si="43"/>
        <v>32.339746349299993</v>
      </c>
      <c r="AA21" s="3">
        <f t="shared" si="43"/>
        <v>31.369553958820994</v>
      </c>
      <c r="AB21" s="3">
        <f t="shared" si="43"/>
        <v>30.428467340056365</v>
      </c>
      <c r="AC21" s="3">
        <f t="shared" si="43"/>
        <v>29.515613319854673</v>
      </c>
    </row>
    <row r="22" spans="1:53" x14ac:dyDescent="0.25">
      <c r="A22" s="2" t="s">
        <v>27</v>
      </c>
      <c r="B22" s="5">
        <f>+B20/B21</f>
        <v>-17.106131326213923</v>
      </c>
      <c r="C22" s="5">
        <f t="shared" ref="C22:E22" si="44">+C20/C21</f>
        <v>21.074634206319931</v>
      </c>
      <c r="D22" s="5">
        <f t="shared" si="44"/>
        <v>41.94499760530362</v>
      </c>
      <c r="E22" s="5">
        <f t="shared" si="44"/>
        <v>31.904724999354151</v>
      </c>
      <c r="F22" s="5">
        <f>+F20/F21</f>
        <v>7.0031329805439277</v>
      </c>
      <c r="G22" s="5">
        <f t="shared" ref="G22:N22" si="45">+G20/G21</f>
        <v>34.898820473974681</v>
      </c>
      <c r="H22" s="5">
        <f t="shared" si="45"/>
        <v>69.830772223302858</v>
      </c>
      <c r="I22" s="5">
        <f t="shared" si="45"/>
        <v>6.3312702288342511</v>
      </c>
      <c r="J22" s="5">
        <f t="shared" si="45"/>
        <v>22.414141705901041</v>
      </c>
      <c r="K22" s="5">
        <f t="shared" si="45"/>
        <v>44.386727755566575</v>
      </c>
      <c r="L22" s="5" t="e">
        <f t="shared" si="45"/>
        <v>#DIV/0!</v>
      </c>
      <c r="M22" s="5" t="e">
        <f t="shared" si="45"/>
        <v>#DIV/0!</v>
      </c>
      <c r="N22" s="5" t="e">
        <f t="shared" si="45"/>
        <v>#DIV/0!</v>
      </c>
      <c r="Q22" s="5">
        <f>+Q20/Q21</f>
        <v>42.646265705211434</v>
      </c>
      <c r="R22" s="5">
        <f t="shared" ref="R22" si="46">+R20/R21</f>
        <v>46.863114064939744</v>
      </c>
      <c r="S22" s="5">
        <f t="shared" ref="S22" si="47">+S20/S21</f>
        <v>83.262177978632565</v>
      </c>
      <c r="T22" s="5">
        <f t="shared" ref="T22:AC22" si="48">+T20/T21</f>
        <v>111.81594612608886</v>
      </c>
      <c r="U22" s="5">
        <f t="shared" si="48"/>
        <v>71.382203135923305</v>
      </c>
      <c r="V22" s="5">
        <f t="shared" si="48"/>
        <v>117.5472214618122</v>
      </c>
      <c r="W22" s="5">
        <f t="shared" si="48"/>
        <v>148.28530596233577</v>
      </c>
      <c r="X22" s="5">
        <f t="shared" si="48"/>
        <v>181.09244785143042</v>
      </c>
      <c r="Y22" s="5">
        <f t="shared" si="48"/>
        <v>227.69814800545038</v>
      </c>
      <c r="Z22" s="5">
        <f t="shared" si="48"/>
        <v>276.72806007176257</v>
      </c>
      <c r="AA22" s="5">
        <f t="shared" si="48"/>
        <v>322.04860799011652</v>
      </c>
      <c r="AB22" s="5">
        <f t="shared" si="48"/>
        <v>375.64709557795447</v>
      </c>
      <c r="AC22" s="5">
        <f t="shared" si="48"/>
        <v>437.22309516056077</v>
      </c>
    </row>
    <row r="24" spans="1:53" x14ac:dyDescent="0.25">
      <c r="A24" s="1" t="s">
        <v>7</v>
      </c>
      <c r="F24" s="7">
        <f t="shared" ref="F24:K26" si="49">+F3/B3-1</f>
        <v>0.20827586206896553</v>
      </c>
      <c r="G24" s="7">
        <f t="shared" si="49"/>
        <v>0.20382442416340729</v>
      </c>
      <c r="H24" s="7">
        <f t="shared" si="49"/>
        <v>0.50918133129303755</v>
      </c>
      <c r="I24" s="7">
        <f t="shared" si="49"/>
        <v>0.38707865168539324</v>
      </c>
      <c r="J24" s="7">
        <f t="shared" si="49"/>
        <v>0.36301369863013688</v>
      </c>
      <c r="K24" s="7">
        <f t="shared" si="49"/>
        <v>0.2440433212996389</v>
      </c>
      <c r="R24" s="7">
        <f t="shared" ref="R24:AC24" si="50">+R3/Q3-1</f>
        <v>0.21698822350288149</v>
      </c>
      <c r="S24" s="7">
        <f t="shared" si="50"/>
        <v>7.8855260448836839E-2</v>
      </c>
      <c r="T24" s="7">
        <f t="shared" si="50"/>
        <v>-3.4637404580152631E-2</v>
      </c>
      <c r="U24" s="7">
        <f t="shared" si="50"/>
        <v>-0.2890184837402392</v>
      </c>
      <c r="V24" s="7">
        <f t="shared" si="50"/>
        <v>0.52036702349506458</v>
      </c>
      <c r="W24" s="7">
        <f t="shared" si="50"/>
        <v>8.0000000000000071E-2</v>
      </c>
      <c r="X24" s="7">
        <f t="shared" si="50"/>
        <v>8.0000000000000071E-2</v>
      </c>
      <c r="Y24" s="7">
        <f t="shared" si="50"/>
        <v>0.1100000000000001</v>
      </c>
      <c r="Z24" s="7">
        <f t="shared" si="50"/>
        <v>0.1100000000000001</v>
      </c>
      <c r="AA24" s="7">
        <f t="shared" si="50"/>
        <v>8.0000000000000071E-2</v>
      </c>
      <c r="AB24" s="7">
        <f t="shared" si="50"/>
        <v>0.10000000000000009</v>
      </c>
      <c r="AC24" s="7">
        <f t="shared" si="50"/>
        <v>0.10000000000000009</v>
      </c>
    </row>
    <row r="25" spans="1:53" x14ac:dyDescent="0.25">
      <c r="A25" s="1" t="s">
        <v>8</v>
      </c>
      <c r="F25" s="7">
        <f t="shared" si="49"/>
        <v>0.69714285714285706</v>
      </c>
      <c r="G25" s="7">
        <f t="shared" si="49"/>
        <v>0.38879359634076605</v>
      </c>
      <c r="H25" s="7">
        <f t="shared" si="49"/>
        <v>-2.1230096784264796E-2</v>
      </c>
      <c r="I25" s="7">
        <f t="shared" si="49"/>
        <v>9.2728160078086042E-3</v>
      </c>
      <c r="J25" s="7">
        <f t="shared" si="49"/>
        <v>-1.0662177328844002E-2</v>
      </c>
      <c r="K25" s="7">
        <f t="shared" si="49"/>
        <v>-0.1173322354878551</v>
      </c>
      <c r="R25" s="7">
        <f t="shared" ref="R25:AC25" si="51">+R4/Q4-1</f>
        <v>4.150390625E-2</v>
      </c>
      <c r="S25" s="7">
        <f t="shared" si="51"/>
        <v>0.40037505860290667</v>
      </c>
      <c r="T25" s="7">
        <f t="shared" si="51"/>
        <v>0.28222296618680942</v>
      </c>
      <c r="U25" s="7">
        <f t="shared" si="51"/>
        <v>1.3506527415143603</v>
      </c>
      <c r="V25" s="7">
        <f t="shared" si="51"/>
        <v>4.5651449516827647E-2</v>
      </c>
      <c r="W25" s="7">
        <f t="shared" si="51"/>
        <v>8.0000000000000071E-2</v>
      </c>
      <c r="X25" s="7">
        <f t="shared" si="51"/>
        <v>8.0000000000000071E-2</v>
      </c>
      <c r="Y25" s="7">
        <f t="shared" si="51"/>
        <v>0.12999999999999989</v>
      </c>
      <c r="Z25" s="7">
        <f t="shared" si="51"/>
        <v>0.1100000000000001</v>
      </c>
      <c r="AA25" s="7">
        <f t="shared" si="51"/>
        <v>9.000000000000008E-2</v>
      </c>
      <c r="AB25" s="7">
        <f t="shared" si="51"/>
        <v>0.10000000000000009</v>
      </c>
      <c r="AC25" s="7">
        <f t="shared" si="51"/>
        <v>0.10000000000000009</v>
      </c>
    </row>
    <row r="26" spans="1:53" x14ac:dyDescent="0.25">
      <c r="A26" s="1" t="s">
        <v>9</v>
      </c>
      <c r="F26" s="7">
        <f t="shared" si="49"/>
        <v>0.25128205128205128</v>
      </c>
      <c r="G26" s="7">
        <f t="shared" si="49"/>
        <v>7.7868852459016313E-2</v>
      </c>
      <c r="H26" s="7">
        <f t="shared" si="49"/>
        <v>0.11063829787234036</v>
      </c>
      <c r="I26" s="7">
        <f t="shared" si="49"/>
        <v>0.1227272727272728</v>
      </c>
      <c r="J26" s="7">
        <f t="shared" si="49"/>
        <v>8.1967213114754189E-2</v>
      </c>
      <c r="K26" s="7">
        <f t="shared" si="49"/>
        <v>2.281368821292773E-2</v>
      </c>
      <c r="R26" s="7">
        <f t="shared" ref="R26:AC26" si="52">+R5/Q5-1</f>
        <v>0.16970546984572232</v>
      </c>
      <c r="S26" s="7">
        <f t="shared" si="52"/>
        <v>0.27098321342925669</v>
      </c>
      <c r="T26" s="7">
        <f t="shared" si="52"/>
        <v>5.5660377358490498E-2</v>
      </c>
      <c r="U26" s="7">
        <f t="shared" si="52"/>
        <v>-0.20107238605898126</v>
      </c>
      <c r="V26" s="7">
        <f t="shared" si="52"/>
        <v>0.13534675615212532</v>
      </c>
      <c r="W26" s="7">
        <f t="shared" si="52"/>
        <v>0.10000000000000009</v>
      </c>
      <c r="X26" s="7">
        <f t="shared" si="52"/>
        <v>0.10000000000000009</v>
      </c>
      <c r="Y26" s="7">
        <f t="shared" si="52"/>
        <v>0.10000000000000009</v>
      </c>
      <c r="Z26" s="7">
        <f t="shared" si="52"/>
        <v>0.10000000000000009</v>
      </c>
      <c r="AA26" s="7">
        <f t="shared" si="52"/>
        <v>0.10000000000000009</v>
      </c>
      <c r="AB26" s="7">
        <f t="shared" si="52"/>
        <v>0.10000000000000009</v>
      </c>
      <c r="AC26" s="7">
        <f t="shared" si="52"/>
        <v>0.10000000000000009</v>
      </c>
    </row>
    <row r="27" spans="1:53" x14ac:dyDescent="0.25">
      <c r="A27" s="1" t="s">
        <v>13</v>
      </c>
      <c r="F27" s="7">
        <f t="shared" ref="F27:J27" si="53">+F8/B8-1</f>
        <v>0.32258064516129026</v>
      </c>
      <c r="G27" s="7">
        <f t="shared" si="53"/>
        <v>3.6845135290731079E-2</v>
      </c>
      <c r="H27" s="7">
        <f t="shared" si="53"/>
        <v>0.1264623955431754</v>
      </c>
      <c r="I27" s="7">
        <f t="shared" si="53"/>
        <v>9.0563165905631626E-2</v>
      </c>
      <c r="J27" s="7">
        <f t="shared" si="53"/>
        <v>6.1305207646671134E-2</v>
      </c>
      <c r="K27" s="7">
        <f>+K8/G8-1</f>
        <v>7.6624097723486884E-2</v>
      </c>
      <c r="R27" s="7">
        <f t="shared" ref="R27:U27" si="54">+R8/Q8-1</f>
        <v>0.14617389244254908</v>
      </c>
      <c r="S27" s="7">
        <f t="shared" si="54"/>
        <v>2.4390243902439046E-2</v>
      </c>
      <c r="T27" s="7">
        <f t="shared" si="54"/>
        <v>2.2195318805489084E-3</v>
      </c>
      <c r="U27" s="7">
        <f t="shared" si="54"/>
        <v>0.20656331789812765</v>
      </c>
      <c r="V27" s="7">
        <f>+V8/U8-1</f>
        <v>0.13015184381778733</v>
      </c>
      <c r="W27" s="7">
        <f t="shared" ref="W27:AC27" si="55">+W8/V8-1</f>
        <v>5.7034548944337793E-2</v>
      </c>
      <c r="X27" s="7">
        <f t="shared" si="55"/>
        <v>4.6096996980848237E-2</v>
      </c>
      <c r="Y27" s="7">
        <f t="shared" si="55"/>
        <v>8.1028129224600676E-2</v>
      </c>
      <c r="Z27" s="7">
        <f t="shared" si="55"/>
        <v>7.1256916321772223E-2</v>
      </c>
      <c r="AA27" s="7">
        <f t="shared" si="55"/>
        <v>8.540591319908275E-2</v>
      </c>
      <c r="AB27" s="7">
        <f t="shared" si="55"/>
        <v>0.10000000000000031</v>
      </c>
      <c r="AC27" s="7">
        <f t="shared" si="55"/>
        <v>0.10000000000000009</v>
      </c>
      <c r="AK27" s="7"/>
    </row>
    <row r="28" spans="1:53" x14ac:dyDescent="0.25">
      <c r="A28" s="1" t="s">
        <v>14</v>
      </c>
      <c r="F28" s="7">
        <f t="shared" ref="F28:K28" si="56">+F9/B9-1</f>
        <v>0.68141592920353977</v>
      </c>
      <c r="G28" s="7">
        <f t="shared" si="56"/>
        <v>0.54193548387096779</v>
      </c>
      <c r="H28" s="7">
        <f t="shared" si="56"/>
        <v>0.3388888888888888</v>
      </c>
      <c r="I28" s="7">
        <f t="shared" si="56"/>
        <v>0.27201565557729945</v>
      </c>
      <c r="J28" s="7">
        <f t="shared" si="56"/>
        <v>0.18947368421052624</v>
      </c>
      <c r="K28" s="7">
        <f t="shared" si="56"/>
        <v>0.14365411436541153</v>
      </c>
      <c r="R28" s="7">
        <f t="shared" ref="R28:V28" si="57">+R9/Q9-1</f>
        <v>0.22511848341232232</v>
      </c>
      <c r="S28" s="7">
        <f t="shared" si="57"/>
        <v>0.60541586073500975</v>
      </c>
      <c r="T28" s="7">
        <f t="shared" si="57"/>
        <v>0.15060240963855431</v>
      </c>
      <c r="U28" s="7">
        <f t="shared" si="57"/>
        <v>1.079581151832461</v>
      </c>
      <c r="V28" s="7">
        <f t="shared" si="57"/>
        <v>0.38167170191339372</v>
      </c>
      <c r="W28" s="7">
        <f t="shared" ref="W28:AC28" si="58">+W9/V9-1</f>
        <v>7.7294460641399443E-2</v>
      </c>
      <c r="X28" s="7">
        <f t="shared" si="58"/>
        <v>5.5631735234579871E-2</v>
      </c>
      <c r="Y28" s="7">
        <f t="shared" si="58"/>
        <v>0.10041208188655903</v>
      </c>
      <c r="Z28" s="7">
        <f t="shared" si="58"/>
        <v>0.10951609190469247</v>
      </c>
      <c r="AA28" s="7">
        <f t="shared" si="58"/>
        <v>5.8932598243007561E-2</v>
      </c>
      <c r="AB28" s="7">
        <f t="shared" si="58"/>
        <v>0.10000000000000009</v>
      </c>
      <c r="AC28" s="7">
        <f t="shared" si="58"/>
        <v>0.10000000000000031</v>
      </c>
    </row>
    <row r="29" spans="1:53" x14ac:dyDescent="0.25">
      <c r="A29" s="1" t="s">
        <v>15</v>
      </c>
      <c r="F29" s="7">
        <f t="shared" ref="F29:K29" si="59">+F10/B10-1</f>
        <v>0.21140939597315445</v>
      </c>
      <c r="G29" s="7">
        <f t="shared" si="59"/>
        <v>0.18425196850393699</v>
      </c>
      <c r="H29" s="7">
        <f t="shared" si="59"/>
        <v>0.23899371069182385</v>
      </c>
      <c r="I29" s="7">
        <f t="shared" si="59"/>
        <v>0.72575250836120397</v>
      </c>
      <c r="J29" s="7">
        <f t="shared" si="59"/>
        <v>0.14404432132963985</v>
      </c>
      <c r="K29" s="7">
        <f t="shared" si="59"/>
        <v>7.3138297872340496E-2</v>
      </c>
      <c r="R29" s="7">
        <f t="shared" ref="R29:V29" si="60">+R10/Q10-1</f>
        <v>0.22962962962962963</v>
      </c>
      <c r="S29" s="7">
        <f t="shared" si="60"/>
        <v>0.23012048192771095</v>
      </c>
      <c r="T29" s="7">
        <f t="shared" si="60"/>
        <v>0.1008814887365328</v>
      </c>
      <c r="U29" s="7">
        <f t="shared" si="60"/>
        <v>9.6530249110320376E-2</v>
      </c>
      <c r="V29" s="7">
        <f t="shared" si="60"/>
        <v>0.33630831643002024</v>
      </c>
      <c r="W29" s="7">
        <f t="shared" ref="W29:AC29" si="61">+W10/V10-1</f>
        <v>5.1662112932604698E-2</v>
      </c>
      <c r="X29" s="7">
        <f t="shared" si="61"/>
        <v>4.4934666984203009E-2</v>
      </c>
      <c r="Y29" s="7">
        <f t="shared" si="61"/>
        <v>7.9742721223144741E-2</v>
      </c>
      <c r="Z29" s="7">
        <f t="shared" si="61"/>
        <v>0.10951609190469247</v>
      </c>
      <c r="AA29" s="7">
        <f t="shared" si="61"/>
        <v>8.540591319908275E-2</v>
      </c>
      <c r="AB29" s="7">
        <f t="shared" si="61"/>
        <v>0.10000000000000031</v>
      </c>
      <c r="AC29" s="7">
        <f t="shared" si="61"/>
        <v>0.10000000000000009</v>
      </c>
    </row>
    <row r="30" spans="1:53" x14ac:dyDescent="0.25">
      <c r="A30" s="1" t="s">
        <v>16</v>
      </c>
      <c r="F30" s="7">
        <f t="shared" ref="F30:K30" si="62">+F11/B11-1</f>
        <v>0.65822784810126578</v>
      </c>
      <c r="G30" s="7">
        <f t="shared" si="62"/>
        <v>0.22705314009661826</v>
      </c>
      <c r="H30" s="7">
        <f t="shared" si="62"/>
        <v>0.47709923664122145</v>
      </c>
      <c r="I30" s="7">
        <f t="shared" si="62"/>
        <v>1.7333333333333334</v>
      </c>
      <c r="J30" s="7">
        <f t="shared" si="62"/>
        <v>-0.29007633587786263</v>
      </c>
      <c r="K30" s="7">
        <f t="shared" si="62"/>
        <v>-0.55905511811023623</v>
      </c>
      <c r="R30" s="7">
        <f t="shared" ref="R30:V30" si="63">+R11/Q11-1</f>
        <v>0.27433628318584069</v>
      </c>
      <c r="S30" s="7">
        <f t="shared" si="63"/>
        <v>0.21354166666666674</v>
      </c>
      <c r="T30" s="7">
        <f t="shared" si="63"/>
        <v>0.14020028612303292</v>
      </c>
      <c r="U30" s="7">
        <f t="shared" si="63"/>
        <v>-3.8895859473023875E-2</v>
      </c>
      <c r="V30" s="7">
        <f t="shared" si="63"/>
        <v>1.0300261096605743</v>
      </c>
      <c r="W30" s="7">
        <f t="shared" ref="W30:AC30" si="64">+W11/V11-1</f>
        <v>3.9623794212218844E-2</v>
      </c>
      <c r="X30" s="7">
        <f t="shared" si="64"/>
        <v>8.0966896880209749E-2</v>
      </c>
      <c r="Y30" s="7">
        <f t="shared" si="64"/>
        <v>0.11830496126682832</v>
      </c>
      <c r="Z30" s="7">
        <f t="shared" si="64"/>
        <v>0.10951609190469247</v>
      </c>
      <c r="AA30" s="7">
        <f t="shared" si="64"/>
        <v>8.540591319908275E-2</v>
      </c>
      <c r="AB30" s="7">
        <f t="shared" si="64"/>
        <v>0.10000000000000031</v>
      </c>
      <c r="AC30" s="7">
        <f t="shared" si="64"/>
        <v>0.10000000000000009</v>
      </c>
    </row>
    <row r="31" spans="1:53" x14ac:dyDescent="0.25">
      <c r="A31" s="1" t="s">
        <v>17</v>
      </c>
      <c r="F31" s="7">
        <f t="shared" ref="F31:K31" si="65">+F12/B12-1</f>
        <v>2.2388059701492491E-2</v>
      </c>
      <c r="G31" s="7">
        <f t="shared" si="65"/>
        <v>5.1094890510948954E-2</v>
      </c>
      <c r="H31" s="7">
        <f t="shared" si="65"/>
        <v>0.4496124031007751</v>
      </c>
      <c r="I31" s="7">
        <f t="shared" si="65"/>
        <v>0.48412698412698418</v>
      </c>
      <c r="J31" s="7">
        <f t="shared" si="65"/>
        <v>0.36496350364963503</v>
      </c>
      <c r="K31" s="7">
        <f t="shared" si="65"/>
        <v>0.27083333333333326</v>
      </c>
      <c r="R31" s="7">
        <f t="shared" ref="R31:V31" si="66">+R12/Q12-1</f>
        <v>0.33098591549295775</v>
      </c>
      <c r="S31" s="7">
        <f t="shared" si="66"/>
        <v>0.23280423280423279</v>
      </c>
      <c r="T31" s="7">
        <f t="shared" si="66"/>
        <v>0.22317596566523612</v>
      </c>
      <c r="U31" s="7">
        <f t="shared" si="66"/>
        <v>0.84561403508771926</v>
      </c>
      <c r="V31" s="7">
        <f t="shared" si="66"/>
        <v>0.24524714828897332</v>
      </c>
      <c r="W31" s="7">
        <f t="shared" ref="W31:AC31" si="67">+W12/V12-1</f>
        <v>5.7763358778625928E-2</v>
      </c>
      <c r="X31" s="7">
        <f t="shared" si="67"/>
        <v>8.0966896880209971E-2</v>
      </c>
      <c r="Y31" s="7">
        <f t="shared" si="67"/>
        <v>0.11830496126682832</v>
      </c>
      <c r="Z31" s="7">
        <f t="shared" si="67"/>
        <v>0.10951609190469247</v>
      </c>
      <c r="AA31" s="7">
        <f t="shared" si="67"/>
        <v>8.540591319908275E-2</v>
      </c>
      <c r="AB31" s="7">
        <f t="shared" si="67"/>
        <v>0.10000000000000009</v>
      </c>
      <c r="AC31" s="7">
        <f t="shared" si="67"/>
        <v>0.10000000000000031</v>
      </c>
    </row>
    <row r="32" spans="1:53" x14ac:dyDescent="0.25">
      <c r="A32" s="1" t="s">
        <v>62</v>
      </c>
      <c r="F32" s="6">
        <f t="shared" ref="F32:N32" si="68">+F7/B7-1</f>
        <v>0.40185528756957334</v>
      </c>
      <c r="G32" s="6">
        <f t="shared" si="68"/>
        <v>0.27200745225896594</v>
      </c>
      <c r="H32" s="6">
        <f t="shared" si="68"/>
        <v>0.21298744216787835</v>
      </c>
      <c r="I32" s="6">
        <f t="shared" si="68"/>
        <v>0.1815263027908125</v>
      </c>
      <c r="J32" s="6">
        <f t="shared" si="68"/>
        <v>0.16860772895712017</v>
      </c>
      <c r="K32" s="6">
        <f t="shared" si="68"/>
        <v>7.2683998535335137E-2</v>
      </c>
      <c r="L32" s="6">
        <f t="shared" si="68"/>
        <v>-1</v>
      </c>
      <c r="M32" s="6">
        <f t="shared" si="68"/>
        <v>-1</v>
      </c>
      <c r="N32" s="6">
        <f t="shared" si="68"/>
        <v>-1</v>
      </c>
      <c r="R32" s="7">
        <f t="shared" ref="R32:AC32" si="69">+R7/Q7-1</f>
        <v>0.18039653728008931</v>
      </c>
      <c r="S32" s="7">
        <f t="shared" si="69"/>
        <v>0.14557211576374107</v>
      </c>
      <c r="T32" s="7">
        <f t="shared" si="69"/>
        <v>3.7103324843394958E-2</v>
      </c>
      <c r="U32" s="7">
        <f t="shared" si="69"/>
        <v>0.13434222753219172</v>
      </c>
      <c r="V32" s="7">
        <f t="shared" si="69"/>
        <v>0.25014628437682851</v>
      </c>
      <c r="W32" s="7">
        <f t="shared" si="69"/>
        <v>8.095015211794987E-2</v>
      </c>
      <c r="X32" s="7">
        <f t="shared" si="69"/>
        <v>8.0966896880209971E-2</v>
      </c>
      <c r="Y32" s="7">
        <f t="shared" si="69"/>
        <v>0.11830496126682832</v>
      </c>
      <c r="Z32" s="7">
        <f t="shared" si="69"/>
        <v>0.10951609190469247</v>
      </c>
      <c r="AA32" s="7">
        <f t="shared" si="69"/>
        <v>8.540591319908275E-2</v>
      </c>
      <c r="AB32" s="7">
        <f t="shared" si="69"/>
        <v>0.10000000000000009</v>
      </c>
      <c r="AC32" s="7">
        <f t="shared" si="69"/>
        <v>0.10000000000000009</v>
      </c>
    </row>
    <row r="33" spans="1:29" x14ac:dyDescent="0.25">
      <c r="F33" s="6"/>
      <c r="G33" s="6"/>
      <c r="H33" s="6"/>
      <c r="I33" s="6"/>
      <c r="J33" s="6"/>
      <c r="K33" s="6"/>
      <c r="L33" s="6"/>
      <c r="M33" s="6"/>
      <c r="N33" s="6"/>
      <c r="R33" s="7"/>
      <c r="S33" s="7"/>
      <c r="T33" s="7"/>
      <c r="U33" s="7"/>
      <c r="V33" s="7"/>
    </row>
    <row r="34" spans="1:29" x14ac:dyDescent="0.25">
      <c r="A34" s="1" t="s">
        <v>28</v>
      </c>
      <c r="B34" s="6">
        <f t="shared" ref="B34:N34" si="70">+B15/B7</f>
        <v>6.4564007421150274E-2</v>
      </c>
      <c r="C34" s="6">
        <f t="shared" si="70"/>
        <v>0.2328830926874709</v>
      </c>
      <c r="D34" s="6">
        <f t="shared" si="70"/>
        <v>0.4264705882352941</v>
      </c>
      <c r="E34" s="6">
        <f t="shared" si="70"/>
        <v>0.33218078537910595</v>
      </c>
      <c r="F34" s="6">
        <f t="shared" si="70"/>
        <v>0.11911064055055585</v>
      </c>
      <c r="G34" s="6">
        <f t="shared" si="70"/>
        <v>0.30629805931893078</v>
      </c>
      <c r="H34" s="6">
        <f t="shared" si="70"/>
        <v>0.42296689824274625</v>
      </c>
      <c r="I34" s="6">
        <f t="shared" si="70"/>
        <v>0.12750836120401338</v>
      </c>
      <c r="J34" s="6">
        <f t="shared" si="70"/>
        <v>0.17916194790486975</v>
      </c>
      <c r="K34" s="6">
        <f t="shared" si="70"/>
        <v>0.31677760710018776</v>
      </c>
      <c r="L34" s="6" t="e">
        <f t="shared" si="70"/>
        <v>#DIV/0!</v>
      </c>
      <c r="M34" s="6" t="e">
        <f t="shared" si="70"/>
        <v>#DIV/0!</v>
      </c>
      <c r="N34" s="6" t="e">
        <f t="shared" si="70"/>
        <v>#DIV/0!</v>
      </c>
      <c r="Q34" s="7">
        <f t="shared" ref="Q34:V34" si="71">+Q15/Q7</f>
        <v>0.27050172205156847</v>
      </c>
      <c r="R34" s="7">
        <f t="shared" si="71"/>
        <v>0.35785821307467863</v>
      </c>
      <c r="S34" s="7">
        <f t="shared" si="71"/>
        <v>0.36766021890273282</v>
      </c>
      <c r="T34" s="7">
        <f t="shared" si="71"/>
        <v>0.35477233505907341</v>
      </c>
      <c r="U34" s="7">
        <f t="shared" si="71"/>
        <v>0.2868929198361615</v>
      </c>
      <c r="V34" s="7">
        <f t="shared" si="71"/>
        <v>0.27334425462204542</v>
      </c>
      <c r="W34" s="7">
        <f t="shared" ref="W34:AC34" si="72">+W15/W7</f>
        <v>0.28799428435341762</v>
      </c>
      <c r="X34" s="7">
        <f t="shared" si="72"/>
        <v>0.30601575684404858</v>
      </c>
      <c r="Y34" s="7">
        <f t="shared" si="72"/>
        <v>0.3244806907006646</v>
      </c>
      <c r="Z34" s="7">
        <f t="shared" si="72"/>
        <v>0.3356886599150532</v>
      </c>
      <c r="AA34" s="7">
        <f t="shared" si="72"/>
        <v>0.33938383528495675</v>
      </c>
      <c r="AB34" s="7">
        <f t="shared" si="72"/>
        <v>0.34032093368109506</v>
      </c>
      <c r="AC34" s="7">
        <f t="shared" si="72"/>
        <v>0.34121543669559068</v>
      </c>
    </row>
    <row r="35" spans="1:29" x14ac:dyDescent="0.25">
      <c r="A35" s="1" t="s">
        <v>29</v>
      </c>
      <c r="B35" s="6">
        <f t="shared" ref="B35:N35" si="73">+B20/B7</f>
        <v>-0.25974025974025972</v>
      </c>
      <c r="C35" s="6">
        <f t="shared" si="73"/>
        <v>0.19958081043316256</v>
      </c>
      <c r="D35" s="6">
        <f t="shared" si="73"/>
        <v>0.27495042961004629</v>
      </c>
      <c r="E35" s="6">
        <f t="shared" si="73"/>
        <v>0.30501358360088909</v>
      </c>
      <c r="F35" s="6">
        <f t="shared" si="73"/>
        <v>7.0407623080995241E-2</v>
      </c>
      <c r="G35" s="6">
        <f t="shared" si="73"/>
        <v>0.2361772244599048</v>
      </c>
      <c r="H35" s="6">
        <f t="shared" si="73"/>
        <v>0.34232393406892792</v>
      </c>
      <c r="I35" s="6">
        <f t="shared" si="73"/>
        <v>4.6613712374581937E-2</v>
      </c>
      <c r="J35" s="6">
        <f t="shared" si="73"/>
        <v>0.17576443941109854</v>
      </c>
      <c r="K35" s="6">
        <f t="shared" si="73"/>
        <v>0.25960061443932414</v>
      </c>
      <c r="L35" s="6" t="e">
        <f t="shared" si="73"/>
        <v>#DIV/0!</v>
      </c>
      <c r="M35" s="6" t="e">
        <f t="shared" si="73"/>
        <v>#DIV/0!</v>
      </c>
      <c r="N35" s="6" t="e">
        <f t="shared" si="73"/>
        <v>#DIV/0!</v>
      </c>
      <c r="Q35" s="7">
        <f t="shared" ref="Q35:V35" si="74">+Q20/Q7</f>
        <v>0.19873405938750816</v>
      </c>
      <c r="R35" s="7">
        <f t="shared" si="74"/>
        <v>0.18460689220093052</v>
      </c>
      <c r="S35" s="7">
        <f t="shared" si="74"/>
        <v>0.27521167481241826</v>
      </c>
      <c r="T35" s="7">
        <f t="shared" si="74"/>
        <v>0.32291251825302003</v>
      </c>
      <c r="U35" s="7">
        <f t="shared" si="74"/>
        <v>0.16729081334113516</v>
      </c>
      <c r="V35" s="7">
        <f t="shared" si="74"/>
        <v>0.20098291598408613</v>
      </c>
      <c r="W35" s="7">
        <f t="shared" ref="W35:AC35" si="75">+W20/W7</f>
        <v>0.22751548463919988</v>
      </c>
      <c r="X35" s="7">
        <f t="shared" si="75"/>
        <v>0.24932884277244499</v>
      </c>
      <c r="Y35" s="7">
        <f t="shared" si="75"/>
        <v>0.27192125942542056</v>
      </c>
      <c r="Z35" s="7">
        <f t="shared" si="75"/>
        <v>0.28891826102763507</v>
      </c>
      <c r="AA35" s="7">
        <f t="shared" si="75"/>
        <v>0.30048498184187522</v>
      </c>
      <c r="AB35" s="7">
        <f t="shared" si="75"/>
        <v>0.30907254556216823</v>
      </c>
      <c r="AC35" s="7">
        <f t="shared" si="75"/>
        <v>0.31722144362934279</v>
      </c>
    </row>
    <row r="36" spans="1:29" x14ac:dyDescent="0.25">
      <c r="A36" s="1" t="s">
        <v>30</v>
      </c>
      <c r="J36" s="6">
        <f>+J22/F22-1</f>
        <v>2.2005877609595461</v>
      </c>
      <c r="K36" s="6">
        <f>+K22/G22-1</f>
        <v>0.27186899593547498</v>
      </c>
      <c r="Q36" s="7" t="e">
        <f t="shared" ref="Q36:V36" si="76">+Q22/P22-1</f>
        <v>#DIV/0!</v>
      </c>
      <c r="R36" s="7">
        <f t="shared" si="76"/>
        <v>9.88796624979289E-2</v>
      </c>
      <c r="S36" s="7">
        <f t="shared" si="76"/>
        <v>0.77671031129628854</v>
      </c>
      <c r="T36" s="7">
        <f t="shared" si="76"/>
        <v>0.34293804030425434</v>
      </c>
      <c r="U36" s="7">
        <f t="shared" si="76"/>
        <v>-0.36160980961132849</v>
      </c>
      <c r="V36" s="7">
        <f t="shared" si="76"/>
        <v>0.64673008534050425</v>
      </c>
      <c r="W36" s="7">
        <f t="shared" ref="W36:AC36" si="77">+W22/V22-1</f>
        <v>0.2614956280400853</v>
      </c>
      <c r="X36" s="7">
        <f t="shared" si="77"/>
        <v>0.22124337725969712</v>
      </c>
      <c r="Y36" s="7">
        <f t="shared" si="77"/>
        <v>0.25735860720296633</v>
      </c>
      <c r="Z36" s="7">
        <f t="shared" si="77"/>
        <v>0.21532855008174501</v>
      </c>
      <c r="AA36" s="7">
        <f t="shared" si="77"/>
        <v>0.16377286750971765</v>
      </c>
      <c r="AB36" s="7">
        <f t="shared" si="77"/>
        <v>0.16642980673738195</v>
      </c>
      <c r="AC36" s="7">
        <f t="shared" si="77"/>
        <v>0.16391980746681423</v>
      </c>
    </row>
    <row r="38" spans="1:29" x14ac:dyDescent="0.25">
      <c r="A38" s="1" t="s">
        <v>31</v>
      </c>
      <c r="B38" s="3">
        <v>1695</v>
      </c>
      <c r="C38" s="3">
        <f>4379-B38</f>
        <v>2684</v>
      </c>
      <c r="D38" s="3">
        <f>4381-C38-B38</f>
        <v>2</v>
      </c>
      <c r="E38" s="3">
        <f>+U38-D38-C38-B38</f>
        <v>2173</v>
      </c>
      <c r="F38" s="3">
        <v>2889</v>
      </c>
      <c r="G38" s="3">
        <f>4626-F38</f>
        <v>1737</v>
      </c>
      <c r="H38" s="3">
        <f>5998-G38-F38</f>
        <v>1372</v>
      </c>
      <c r="I38" s="3">
        <f>+V38-H38-G38-F38</f>
        <v>1346</v>
      </c>
      <c r="J38" s="3">
        <v>2704</v>
      </c>
      <c r="K38" s="3">
        <f>5229-J38</f>
        <v>2525</v>
      </c>
      <c r="Q38" s="3">
        <v>3984</v>
      </c>
      <c r="R38" s="3">
        <v>4662</v>
      </c>
      <c r="S38" s="3">
        <v>5338</v>
      </c>
      <c r="T38" s="3">
        <v>4865</v>
      </c>
      <c r="U38" s="3">
        <v>6554</v>
      </c>
      <c r="V38" s="3">
        <v>7344</v>
      </c>
    </row>
    <row r="39" spans="1:29" x14ac:dyDescent="0.25">
      <c r="A39" s="1" t="s">
        <v>32</v>
      </c>
      <c r="B39" s="3">
        <v>109</v>
      </c>
      <c r="C39" s="3">
        <f>195-B39</f>
        <v>86</v>
      </c>
      <c r="D39" s="3">
        <f>293-C39-B39</f>
        <v>98</v>
      </c>
      <c r="E39" s="3">
        <f>+U39-D39-C39-B39</f>
        <v>75</v>
      </c>
      <c r="F39" s="3">
        <v>88</v>
      </c>
      <c r="G39" s="3">
        <f>180-F39</f>
        <v>92</v>
      </c>
      <c r="H39" s="3">
        <f>251-G39-F39</f>
        <v>71</v>
      </c>
      <c r="I39" s="3">
        <f>+V39-H39-G39-F39</f>
        <v>94</v>
      </c>
      <c r="J39" s="3">
        <v>130</v>
      </c>
      <c r="K39" s="3">
        <f>276-J39</f>
        <v>146</v>
      </c>
      <c r="Q39" s="3">
        <v>220</v>
      </c>
      <c r="R39" s="3">
        <v>288</v>
      </c>
      <c r="S39" s="3">
        <v>442</v>
      </c>
      <c r="T39" s="3">
        <v>368</v>
      </c>
      <c r="U39" s="3">
        <v>368</v>
      </c>
      <c r="V39" s="3">
        <v>345</v>
      </c>
    </row>
    <row r="40" spans="1:29" x14ac:dyDescent="0.25">
      <c r="A40" s="1" t="s">
        <v>33</v>
      </c>
      <c r="B40" s="3">
        <v>93</v>
      </c>
      <c r="C40" s="3">
        <f>201-B40</f>
        <v>108</v>
      </c>
      <c r="D40" s="3">
        <f>302-C40-B40</f>
        <v>101</v>
      </c>
      <c r="E40" s="3">
        <f>+U40-D40-C40-B40</f>
        <v>102</v>
      </c>
      <c r="F40" s="3">
        <v>113</v>
      </c>
      <c r="G40" s="3">
        <f>241-F40</f>
        <v>128</v>
      </c>
      <c r="H40" s="3">
        <f>369-G40-F40</f>
        <v>128</v>
      </c>
      <c r="I40" s="3">
        <f>+V40-H40-G40-F40</f>
        <v>161</v>
      </c>
      <c r="J40" s="3">
        <v>144</v>
      </c>
      <c r="K40" s="3">
        <f>284-J40</f>
        <v>140</v>
      </c>
      <c r="Q40" s="3">
        <v>250</v>
      </c>
      <c r="R40" s="3">
        <v>261</v>
      </c>
      <c r="S40" s="3">
        <v>331</v>
      </c>
      <c r="T40" s="3">
        <v>325</v>
      </c>
      <c r="U40" s="3">
        <v>404</v>
      </c>
      <c r="V40" s="3">
        <v>530</v>
      </c>
    </row>
    <row r="41" spans="1:29" x14ac:dyDescent="0.25">
      <c r="A41" s="1" t="s">
        <v>34</v>
      </c>
      <c r="B41" s="3">
        <f t="shared" ref="B41:E41" si="78">+B38-B39</f>
        <v>1586</v>
      </c>
      <c r="C41" s="3">
        <f t="shared" si="78"/>
        <v>2598</v>
      </c>
      <c r="D41" s="3">
        <f t="shared" si="78"/>
        <v>-96</v>
      </c>
      <c r="E41" s="3">
        <f t="shared" si="78"/>
        <v>2098</v>
      </c>
      <c r="F41" s="3">
        <f t="shared" ref="F41:I41" si="79">+F38-F39</f>
        <v>2801</v>
      </c>
      <c r="G41" s="3">
        <f t="shared" si="79"/>
        <v>1645</v>
      </c>
      <c r="H41" s="3">
        <f t="shared" si="79"/>
        <v>1301</v>
      </c>
      <c r="I41" s="3">
        <f t="shared" si="79"/>
        <v>1252</v>
      </c>
      <c r="J41" s="3">
        <f>+J38-J39</f>
        <v>2574</v>
      </c>
      <c r="K41" s="3">
        <f t="shared" ref="K41" si="80">+K38-K39</f>
        <v>2379</v>
      </c>
      <c r="Q41" s="3">
        <f t="shared" ref="Q41:U41" si="81">+Q38-Q39-Q40</f>
        <v>3514</v>
      </c>
      <c r="R41" s="3">
        <f t="shared" si="81"/>
        <v>4113</v>
      </c>
      <c r="S41" s="3">
        <f t="shared" si="81"/>
        <v>4565</v>
      </c>
      <c r="T41" s="3">
        <f t="shared" si="81"/>
        <v>4172</v>
      </c>
      <c r="U41" s="3">
        <f t="shared" si="81"/>
        <v>5782</v>
      </c>
      <c r="V41" s="3">
        <f>+V38-V39-V40</f>
        <v>6469</v>
      </c>
    </row>
    <row r="42" spans="1:29" x14ac:dyDescent="0.25">
      <c r="B42" s="3"/>
      <c r="C42" s="3"/>
      <c r="D42" s="3"/>
      <c r="E42" s="3"/>
      <c r="F42" s="3"/>
      <c r="G42" s="3"/>
      <c r="H42" s="3"/>
      <c r="I42" s="3"/>
      <c r="J42" s="3"/>
      <c r="K42" s="3"/>
    </row>
    <row r="43" spans="1:29" x14ac:dyDescent="0.25">
      <c r="A43" s="1" t="s">
        <v>60</v>
      </c>
      <c r="B43" s="3"/>
      <c r="C43" s="3"/>
      <c r="D43" s="3"/>
      <c r="E43" s="3">
        <f t="shared" ref="E43" si="82">+SUM(B41:E41)</f>
        <v>6186</v>
      </c>
      <c r="F43" s="3">
        <f t="shared" ref="F43" si="83">+SUM(C41:F41)</f>
        <v>7401</v>
      </c>
      <c r="G43" s="3">
        <f t="shared" ref="G43:J43" si="84">+SUM(D41:G41)</f>
        <v>6448</v>
      </c>
      <c r="H43" s="3">
        <f t="shared" si="84"/>
        <v>7845</v>
      </c>
      <c r="I43" s="3">
        <f t="shared" si="84"/>
        <v>6999</v>
      </c>
      <c r="J43" s="3">
        <f t="shared" si="84"/>
        <v>6772</v>
      </c>
      <c r="K43" s="3">
        <f>+SUM(H41:K41)</f>
        <v>7506</v>
      </c>
    </row>
    <row r="45" spans="1:29" x14ac:dyDescent="0.25">
      <c r="A45" s="1" t="s">
        <v>42</v>
      </c>
      <c r="B45" s="3">
        <v>198</v>
      </c>
      <c r="C45" s="3">
        <v>246</v>
      </c>
      <c r="D45" s="3">
        <v>240</v>
      </c>
      <c r="E45" s="3">
        <v>211</v>
      </c>
      <c r="F45" s="3">
        <v>274</v>
      </c>
      <c r="G45" s="3">
        <v>268</v>
      </c>
      <c r="H45" s="3">
        <v>276</v>
      </c>
      <c r="I45" s="3">
        <v>231</v>
      </c>
      <c r="J45" s="3">
        <v>297</v>
      </c>
      <c r="K45" s="3">
        <v>287</v>
      </c>
      <c r="S45" s="1">
        <v>760</v>
      </c>
      <c r="T45" s="3">
        <v>845</v>
      </c>
      <c r="U45" s="3">
        <v>896</v>
      </c>
      <c r="V45" s="3">
        <v>1049</v>
      </c>
    </row>
    <row r="46" spans="1:29" x14ac:dyDescent="0.25">
      <c r="A46" s="1" t="s">
        <v>44</v>
      </c>
      <c r="B46" s="3">
        <v>27293</v>
      </c>
      <c r="C46" s="3">
        <v>34500</v>
      </c>
      <c r="D46" s="3">
        <v>32100</v>
      </c>
      <c r="E46" s="3">
        <v>27300</v>
      </c>
      <c r="F46" s="3">
        <v>39400</v>
      </c>
      <c r="G46" s="3">
        <v>39692</v>
      </c>
      <c r="H46" s="3">
        <v>39800</v>
      </c>
      <c r="I46" s="3">
        <v>31700</v>
      </c>
      <c r="J46" s="3">
        <v>43500</v>
      </c>
      <c r="K46" s="3">
        <v>41431</v>
      </c>
      <c r="S46" s="1">
        <v>92731</v>
      </c>
      <c r="T46" s="3">
        <v>96400</v>
      </c>
      <c r="U46" s="3">
        <v>121300</v>
      </c>
      <c r="V46" s="3">
        <v>150600</v>
      </c>
    </row>
    <row r="47" spans="1:29" x14ac:dyDescent="0.25">
      <c r="A47" s="1" t="s">
        <v>48</v>
      </c>
      <c r="B47" s="3">
        <v>15</v>
      </c>
      <c r="C47" s="3">
        <v>16</v>
      </c>
      <c r="D47" s="3">
        <v>16</v>
      </c>
      <c r="E47" s="3">
        <v>14</v>
      </c>
      <c r="F47" s="3">
        <v>19</v>
      </c>
      <c r="G47" s="3">
        <v>20</v>
      </c>
      <c r="H47" s="3">
        <v>20</v>
      </c>
      <c r="I47" s="3">
        <v>15</v>
      </c>
      <c r="J47" s="3">
        <v>21</v>
      </c>
      <c r="K47" s="3">
        <v>22</v>
      </c>
      <c r="S47" s="1">
        <v>73</v>
      </c>
      <c r="T47" s="3"/>
      <c r="U47" s="3">
        <v>62</v>
      </c>
      <c r="V47" s="3">
        <v>74</v>
      </c>
    </row>
    <row r="48" spans="1:29" x14ac:dyDescent="0.25">
      <c r="A48" s="1" t="s">
        <v>49</v>
      </c>
      <c r="B48" s="3">
        <v>5</v>
      </c>
      <c r="C48" s="3">
        <v>6</v>
      </c>
      <c r="D48" s="3">
        <v>6</v>
      </c>
      <c r="E48" s="3">
        <v>6</v>
      </c>
      <c r="F48" s="3">
        <v>8</v>
      </c>
      <c r="G48" s="3">
        <v>9</v>
      </c>
      <c r="H48" s="3">
        <v>9</v>
      </c>
      <c r="I48" s="3">
        <v>9</v>
      </c>
      <c r="J48" s="3">
        <v>11</v>
      </c>
      <c r="K48" s="3">
        <v>11</v>
      </c>
      <c r="S48" s="1">
        <v>7</v>
      </c>
      <c r="T48" s="3"/>
      <c r="U48" s="3">
        <v>23</v>
      </c>
      <c r="V48" s="3">
        <v>36</v>
      </c>
    </row>
    <row r="49" spans="1:29" x14ac:dyDescent="0.25">
      <c r="T49" s="3"/>
      <c r="U49" s="3"/>
      <c r="V49" s="3"/>
    </row>
    <row r="51" spans="1:29" x14ac:dyDescent="0.25">
      <c r="A51" s="1" t="s">
        <v>46</v>
      </c>
      <c r="V51" s="1">
        <v>23600</v>
      </c>
    </row>
    <row r="53" spans="1:29" x14ac:dyDescent="0.25">
      <c r="A53" s="1" t="s">
        <v>64</v>
      </c>
    </row>
    <row r="54" spans="1:29" x14ac:dyDescent="0.25">
      <c r="A54" s="1" t="s">
        <v>63</v>
      </c>
      <c r="B54" s="7">
        <f t="shared" ref="B54:J54" si="85">+B8/B$7</f>
        <v>0.42560296846011131</v>
      </c>
      <c r="C54" s="7">
        <f t="shared" si="85"/>
        <v>0.40451793199813696</v>
      </c>
      <c r="D54" s="7">
        <f t="shared" si="85"/>
        <v>0.29659616655651022</v>
      </c>
      <c r="E54" s="7">
        <f t="shared" si="85"/>
        <v>0.32452457396888118</v>
      </c>
      <c r="F54" s="7">
        <f t="shared" si="85"/>
        <v>0.40153520381154051</v>
      </c>
      <c r="G54" s="7">
        <f t="shared" si="85"/>
        <v>0.3297326986451849</v>
      </c>
      <c r="H54" s="7">
        <f>+H8/H$7</f>
        <v>0.27543931344503475</v>
      </c>
      <c r="I54" s="7">
        <f t="shared" si="85"/>
        <v>0.29954013377926419</v>
      </c>
      <c r="J54" s="7">
        <f t="shared" si="85"/>
        <v>0.36466591166477919</v>
      </c>
      <c r="K54" s="7">
        <f>+K8/K$7</f>
        <v>0.33094384707287933</v>
      </c>
      <c r="Q54" s="7">
        <f>+Q8/Q$7</f>
        <v>0.39290700921530297</v>
      </c>
      <c r="R54" s="7">
        <f t="shared" ref="R54:V54" si="86">+R8/R$7</f>
        <v>0.38151565333964199</v>
      </c>
      <c r="S54" s="7">
        <f t="shared" si="86"/>
        <v>0.34115784401459354</v>
      </c>
      <c r="T54" s="7">
        <f t="shared" si="86"/>
        <v>0.32968272932430637</v>
      </c>
      <c r="U54" s="7">
        <f t="shared" si="86"/>
        <v>0.35067290813341134</v>
      </c>
      <c r="V54" s="7">
        <f t="shared" si="86"/>
        <v>0.31701380762930026</v>
      </c>
    </row>
    <row r="55" spans="1:29" x14ac:dyDescent="0.25">
      <c r="A55" s="1" t="s">
        <v>14</v>
      </c>
      <c r="B55" s="7">
        <f t="shared" ref="B55:J55" si="87">+B9/B$7</f>
        <v>0.12578849721706864</v>
      </c>
      <c r="C55" s="7">
        <f t="shared" si="87"/>
        <v>0.10829063809967396</v>
      </c>
      <c r="D55" s="7">
        <f t="shared" si="87"/>
        <v>8.9226701916721746E-2</v>
      </c>
      <c r="E55" s="7">
        <f t="shared" si="87"/>
        <v>0.12620400098789825</v>
      </c>
      <c r="F55" s="7">
        <f t="shared" si="87"/>
        <v>0.15087347803070408</v>
      </c>
      <c r="G55" s="7">
        <f t="shared" si="87"/>
        <v>0.13127059685097034</v>
      </c>
      <c r="H55" s="7">
        <f t="shared" si="87"/>
        <v>9.8487944421740914E-2</v>
      </c>
      <c r="I55" s="7">
        <f t="shared" si="87"/>
        <v>0.1358695652173913</v>
      </c>
      <c r="J55" s="7">
        <f t="shared" si="87"/>
        <v>0.15356738391845981</v>
      </c>
      <c r="K55" s="7">
        <f>+K9/K$7</f>
        <v>0.13995562382659157</v>
      </c>
      <c r="Q55" s="7">
        <f t="shared" ref="Q55" si="88">+Q9/Q$7</f>
        <v>3.9281392534673741E-2</v>
      </c>
      <c r="R55" s="7">
        <f t="shared" ref="R55:V55" si="89">+R9/R$7</f>
        <v>4.0769655389953474E-2</v>
      </c>
      <c r="S55" s="7">
        <f t="shared" si="89"/>
        <v>5.7134990018586081E-2</v>
      </c>
      <c r="T55" s="7">
        <f t="shared" si="89"/>
        <v>6.3387760520377007E-2</v>
      </c>
      <c r="U55" s="7">
        <f t="shared" si="89"/>
        <v>0.11620830895260387</v>
      </c>
      <c r="V55" s="7">
        <f t="shared" si="89"/>
        <v>0.12843435525391997</v>
      </c>
    </row>
    <row r="56" spans="1:29" x14ac:dyDescent="0.25">
      <c r="A56" s="1" t="s">
        <v>15</v>
      </c>
      <c r="B56" s="7">
        <f t="shared" ref="B56:K56" si="90">+B10/B$7</f>
        <v>0.22115027829313544</v>
      </c>
      <c r="C56" s="7">
        <f t="shared" si="90"/>
        <v>0.14788076385654403</v>
      </c>
      <c r="D56" s="7">
        <f t="shared" si="90"/>
        <v>0.10508922670191673</v>
      </c>
      <c r="E56" s="7">
        <f t="shared" si="90"/>
        <v>0.14769078784885156</v>
      </c>
      <c r="F56" s="7">
        <f t="shared" si="90"/>
        <v>0.19110640550555849</v>
      </c>
      <c r="G56" s="7">
        <f t="shared" si="90"/>
        <v>0.13767850604174295</v>
      </c>
      <c r="H56" s="7">
        <f>+H10/H$7</f>
        <v>0.10734232393406892</v>
      </c>
      <c r="I56" s="7">
        <f t="shared" si="90"/>
        <v>0.2157190635451505</v>
      </c>
      <c r="J56" s="7">
        <f t="shared" si="90"/>
        <v>0.1870894677236693</v>
      </c>
      <c r="K56" s="7">
        <f t="shared" si="90"/>
        <v>0.13773681515617001</v>
      </c>
      <c r="Q56" s="7">
        <f t="shared" ref="Q56" si="91">+Q10/Q$7</f>
        <v>0.12566322256352974</v>
      </c>
      <c r="R56" s="7">
        <f t="shared" ref="R56:V56" si="92">+R10/R$7</f>
        <v>0.13090450279946375</v>
      </c>
      <c r="S56" s="7">
        <f t="shared" si="92"/>
        <v>0.14056584291319613</v>
      </c>
      <c r="T56" s="7">
        <f t="shared" si="92"/>
        <v>0.14921014204168326</v>
      </c>
      <c r="U56" s="7">
        <f t="shared" si="92"/>
        <v>0.14423639555295495</v>
      </c>
      <c r="V56" s="7">
        <f t="shared" si="92"/>
        <v>0.15417739293236601</v>
      </c>
    </row>
    <row r="57" spans="1:29" x14ac:dyDescent="0.25">
      <c r="A57" s="1" t="s">
        <v>16</v>
      </c>
      <c r="B57" s="7">
        <f t="shared" ref="B57:K57" si="93">+B11/B$7</f>
        <v>5.8627087198515768E-2</v>
      </c>
      <c r="C57" s="7">
        <f t="shared" si="93"/>
        <v>4.8206800186306471E-2</v>
      </c>
      <c r="D57" s="7">
        <f t="shared" si="93"/>
        <v>4.3291473892927958E-2</v>
      </c>
      <c r="E57" s="7">
        <f t="shared" si="93"/>
        <v>6.6683131637441342E-2</v>
      </c>
      <c r="F57" s="7">
        <f t="shared" si="93"/>
        <v>6.9348861831656963E-2</v>
      </c>
      <c r="G57" s="7">
        <f t="shared" si="93"/>
        <v>4.6503112413035515E-2</v>
      </c>
      <c r="H57" s="7">
        <f t="shared" si="93"/>
        <v>5.2717613404168369E-2</v>
      </c>
      <c r="I57" s="7">
        <f t="shared" si="93"/>
        <v>0.15426421404682275</v>
      </c>
      <c r="J57" s="7">
        <f t="shared" si="93"/>
        <v>4.2129105322763309E-2</v>
      </c>
      <c r="K57" s="7">
        <f t="shared" si="93"/>
        <v>1.9115890083632018E-2</v>
      </c>
      <c r="Q57" s="7">
        <f t="shared" ref="Q57" si="94">+Q11/Q$7</f>
        <v>4.207390859164107E-2</v>
      </c>
      <c r="R57" s="7">
        <f t="shared" ref="R57:V57" si="95">+R11/R$7</f>
        <v>4.5422285308729597E-2</v>
      </c>
      <c r="S57" s="7">
        <f t="shared" si="95"/>
        <v>4.811729882288153E-2</v>
      </c>
      <c r="T57" s="7">
        <f t="shared" si="95"/>
        <v>5.2900570821717778E-2</v>
      </c>
      <c r="U57" s="7">
        <f t="shared" si="95"/>
        <v>4.4821533060269161E-2</v>
      </c>
      <c r="V57" s="7">
        <f t="shared" si="95"/>
        <v>7.2782588345424754E-2</v>
      </c>
    </row>
    <row r="58" spans="1:29" x14ac:dyDescent="0.25">
      <c r="A58" s="1" t="s">
        <v>17</v>
      </c>
      <c r="B58" s="7">
        <f t="shared" ref="B58:K58" si="96">+B12/B$7</f>
        <v>4.9721706864564008E-2</v>
      </c>
      <c r="C58" s="7">
        <f t="shared" si="96"/>
        <v>3.1904983698183509E-2</v>
      </c>
      <c r="D58" s="7">
        <f t="shared" si="96"/>
        <v>2.1315267680105752E-2</v>
      </c>
      <c r="E58" s="7">
        <f t="shared" si="96"/>
        <v>3.1118794764139295E-2</v>
      </c>
      <c r="F58" s="7">
        <f t="shared" si="96"/>
        <v>3.6262572789835891E-2</v>
      </c>
      <c r="G58" s="7">
        <f t="shared" si="96"/>
        <v>2.6363969242035885E-2</v>
      </c>
      <c r="H58" s="7">
        <f t="shared" si="96"/>
        <v>2.5473368750851384E-2</v>
      </c>
      <c r="I58" s="7">
        <f t="shared" si="96"/>
        <v>3.9088628762541808E-2</v>
      </c>
      <c r="J58" s="7">
        <f t="shared" si="96"/>
        <v>4.2355605889014721E-2</v>
      </c>
      <c r="K58" s="7">
        <f t="shared" si="96"/>
        <v>3.1233998975934461E-2</v>
      </c>
      <c r="Q58" s="7">
        <f t="shared" ref="Q58" si="97">+Q12/Q$7</f>
        <v>1.3217909336312016E-2</v>
      </c>
      <c r="R58" s="7">
        <f t="shared" ref="R58:V58" si="98">+R12/R$7</f>
        <v>1.4904187366926898E-2</v>
      </c>
      <c r="S58" s="7">
        <f t="shared" si="98"/>
        <v>1.6039099607627175E-2</v>
      </c>
      <c r="T58" s="7">
        <f t="shared" si="98"/>
        <v>1.8916766228594187E-2</v>
      </c>
      <c r="U58" s="7">
        <f t="shared" si="98"/>
        <v>3.0778232884727912E-2</v>
      </c>
      <c r="V58" s="7">
        <f t="shared" si="98"/>
        <v>3.0657617598876669E-2</v>
      </c>
    </row>
    <row r="60" spans="1:29" x14ac:dyDescent="0.25">
      <c r="A60" s="1" t="s">
        <v>66</v>
      </c>
      <c r="K60" s="3">
        <f>+main!B5-main!B6</f>
        <v>-466</v>
      </c>
      <c r="W60" s="3">
        <f>+K60+W20</f>
        <v>4788.3563600000016</v>
      </c>
      <c r="X60" s="3">
        <f>+W60+X20</f>
        <v>11012.69882922</v>
      </c>
      <c r="Y60" s="3">
        <f t="shared" ref="Y60:AC60" si="99">+X60+Y20</f>
        <v>18604.142489737147</v>
      </c>
      <c r="Z60" s="3">
        <f t="shared" si="99"/>
        <v>27553.457760191799</v>
      </c>
      <c r="AA60" s="3">
        <f t="shared" si="99"/>
        <v>37655.978945900948</v>
      </c>
      <c r="AB60" s="3">
        <f t="shared" si="99"/>
        <v>49086.344325081765</v>
      </c>
      <c r="AC60" s="3">
        <f t="shared" si="99"/>
        <v>61991.2521363509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2024-07-18T23:26:49Z</dcterms:created>
  <dcterms:modified xsi:type="dcterms:W3CDTF">2024-10-28T15:21:00Z</dcterms:modified>
</cp:coreProperties>
</file>