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Desktop/Models/"/>
    </mc:Choice>
  </mc:AlternateContent>
  <xr:revisionPtr revIDLastSave="743" documentId="8_{0DC56908-514D-41F8-8EA7-EA5AF01882C1}" xr6:coauthVersionLast="47" xr6:coauthVersionMax="47" xr10:uidLastSave="{FA00AA0B-CD2C-455C-9877-D8884ECC485E}"/>
  <bookViews>
    <workbookView xWindow="-108" yWindow="-108" windowWidth="23256" windowHeight="12456" activeTab="1" xr2:uid="{4923BBE1-21A5-4C27-9DAE-E97D016CE7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3" i="2" s="1"/>
  <c r="W3" i="2" s="1"/>
  <c r="X3" i="2" s="1"/>
  <c r="Y3" i="2" s="1"/>
  <c r="T3" i="2"/>
  <c r="U2" i="2"/>
  <c r="V2" i="2" s="1"/>
  <c r="W2" i="2" s="1"/>
  <c r="X2" i="2" s="1"/>
  <c r="Y2" i="2" s="1"/>
  <c r="T2" i="2"/>
  <c r="S26" i="2"/>
  <c r="S25" i="2"/>
  <c r="S8" i="2"/>
  <c r="S60" i="2" s="1"/>
  <c r="S59" i="2"/>
  <c r="S55" i="2"/>
  <c r="S53" i="2"/>
  <c r="S56" i="2"/>
  <c r="S54" i="2"/>
  <c r="S52" i="2"/>
  <c r="S48" i="2"/>
  <c r="S46" i="2"/>
  <c r="S43" i="2"/>
  <c r="S41" i="2"/>
  <c r="S6" i="2"/>
  <c r="S5" i="2"/>
  <c r="N27" i="2"/>
  <c r="N26" i="2"/>
  <c r="N25" i="2"/>
  <c r="N20" i="2"/>
  <c r="N18" i="2"/>
  <c r="N17" i="2"/>
  <c r="N14" i="2"/>
  <c r="N13" i="2"/>
  <c r="N12" i="2"/>
  <c r="N11" i="2"/>
  <c r="N9" i="2"/>
  <c r="N57" i="2"/>
  <c r="N55" i="2"/>
  <c r="N53" i="2"/>
  <c r="N51" i="2"/>
  <c r="N47" i="2"/>
  <c r="N49" i="2"/>
  <c r="M57" i="2"/>
  <c r="M55" i="2"/>
  <c r="M53" i="2"/>
  <c r="M51" i="2"/>
  <c r="M49" i="2"/>
  <c r="M47" i="2"/>
  <c r="L15" i="2"/>
  <c r="N15" i="2"/>
  <c r="M16" i="2"/>
  <c r="M15" i="2"/>
  <c r="M35" i="2"/>
  <c r="M27" i="2"/>
  <c r="M26" i="2"/>
  <c r="M25" i="2"/>
  <c r="M42" i="2"/>
  <c r="M41" i="2"/>
  <c r="M40" i="2"/>
  <c r="M39" i="2"/>
  <c r="M19" i="2"/>
  <c r="M21" i="2" s="1"/>
  <c r="M23" i="2" s="1"/>
  <c r="N8" i="2"/>
  <c r="N10" i="2" s="1"/>
  <c r="M8" i="2"/>
  <c r="M10" i="2" s="1"/>
  <c r="T56" i="2"/>
  <c r="U56" i="2" s="1"/>
  <c r="V56" i="2" s="1"/>
  <c r="W56" i="2" s="1"/>
  <c r="X56" i="2" s="1"/>
  <c r="Y56" i="2" s="1"/>
  <c r="AB6" i="2"/>
  <c r="T14" i="2"/>
  <c r="U14" i="2" s="1"/>
  <c r="V14" i="2" s="1"/>
  <c r="W14" i="2" s="1"/>
  <c r="X14" i="2" s="1"/>
  <c r="Y14" i="2" s="1"/>
  <c r="R30" i="2"/>
  <c r="Q30" i="2"/>
  <c r="Q29" i="2"/>
  <c r="R29" i="2"/>
  <c r="R33" i="2"/>
  <c r="Q33" i="2"/>
  <c r="R32" i="2"/>
  <c r="Q32" i="2"/>
  <c r="Q31" i="2"/>
  <c r="R31" i="2"/>
  <c r="F6" i="2"/>
  <c r="F5" i="2"/>
  <c r="E50" i="2"/>
  <c r="C50" i="2"/>
  <c r="H26" i="2"/>
  <c r="G26" i="2"/>
  <c r="H25" i="2"/>
  <c r="G25" i="2"/>
  <c r="D50" i="2"/>
  <c r="D40" i="2"/>
  <c r="E40" i="2" s="1"/>
  <c r="D39" i="2"/>
  <c r="E39" i="2" s="1"/>
  <c r="T12" i="2"/>
  <c r="U12" i="2" s="1"/>
  <c r="V12" i="2" s="1"/>
  <c r="W12" i="2" s="1"/>
  <c r="X12" i="2" s="1"/>
  <c r="Y12" i="2" s="1"/>
  <c r="T17" i="2"/>
  <c r="U17" i="2" s="1"/>
  <c r="V17" i="2" s="1"/>
  <c r="W17" i="2" s="1"/>
  <c r="X17" i="2" s="1"/>
  <c r="Y17" i="2" s="1"/>
  <c r="S57" i="2"/>
  <c r="S49" i="2"/>
  <c r="J6" i="2"/>
  <c r="J26" i="2" s="1"/>
  <c r="J5" i="2"/>
  <c r="J25" i="2" s="1"/>
  <c r="I26" i="2"/>
  <c r="I25" i="2"/>
  <c r="I42" i="2"/>
  <c r="H40" i="2"/>
  <c r="I40" i="2" s="1"/>
  <c r="R57" i="2"/>
  <c r="Q57" i="2"/>
  <c r="R55" i="2"/>
  <c r="Q55" i="2"/>
  <c r="R53" i="2"/>
  <c r="Q53" i="2"/>
  <c r="R49" i="2"/>
  <c r="Q49" i="2"/>
  <c r="Q47" i="2"/>
  <c r="R47" i="2"/>
  <c r="Q50" i="2"/>
  <c r="P50" i="2"/>
  <c r="R50" i="2"/>
  <c r="Q26" i="2"/>
  <c r="Q25" i="2"/>
  <c r="R26" i="2"/>
  <c r="R25" i="2"/>
  <c r="R41" i="2"/>
  <c r="R43" i="2" s="1"/>
  <c r="Q41" i="2"/>
  <c r="P41" i="2"/>
  <c r="R15" i="2"/>
  <c r="Q15" i="2"/>
  <c r="P15" i="2"/>
  <c r="P8" i="2"/>
  <c r="P10" i="2" s="1"/>
  <c r="P35" i="2" s="1"/>
  <c r="R8" i="2"/>
  <c r="R10" i="2" s="1"/>
  <c r="Q8" i="2"/>
  <c r="Q10" i="2" s="1"/>
  <c r="Q35" i="2" s="1"/>
  <c r="Q1" i="2"/>
  <c r="R1" i="2" s="1"/>
  <c r="S1" i="2" s="1"/>
  <c r="T1" i="2" s="1"/>
  <c r="U1" i="2" s="1"/>
  <c r="V1" i="2" s="1"/>
  <c r="W1" i="2" s="1"/>
  <c r="X1" i="2" s="1"/>
  <c r="Y1" i="2" s="1"/>
  <c r="K57" i="2"/>
  <c r="K55" i="2"/>
  <c r="K53" i="2"/>
  <c r="K51" i="2"/>
  <c r="K49" i="2"/>
  <c r="K47" i="2"/>
  <c r="L42" i="2"/>
  <c r="K41" i="2"/>
  <c r="J41" i="2"/>
  <c r="G41" i="2"/>
  <c r="F41" i="2"/>
  <c r="C41" i="2"/>
  <c r="L39" i="2"/>
  <c r="L41" i="2" s="1"/>
  <c r="H39" i="2"/>
  <c r="I39" i="2" s="1"/>
  <c r="K26" i="2"/>
  <c r="K25" i="2"/>
  <c r="L26" i="2"/>
  <c r="L25" i="2"/>
  <c r="L57" i="2"/>
  <c r="L55" i="2"/>
  <c r="L53" i="2"/>
  <c r="L51" i="2"/>
  <c r="L49" i="2"/>
  <c r="L47" i="2"/>
  <c r="K15" i="2"/>
  <c r="J15" i="2"/>
  <c r="I15" i="2"/>
  <c r="H15" i="2"/>
  <c r="G15" i="2"/>
  <c r="F15" i="2"/>
  <c r="E15" i="2"/>
  <c r="D15" i="2"/>
  <c r="C15" i="2"/>
  <c r="K8" i="2"/>
  <c r="K10" i="2" s="1"/>
  <c r="K35" i="2" s="1"/>
  <c r="I8" i="2"/>
  <c r="I10" i="2" s="1"/>
  <c r="I35" i="2" s="1"/>
  <c r="H8" i="2"/>
  <c r="H10" i="2" s="1"/>
  <c r="H35" i="2" s="1"/>
  <c r="G8" i="2"/>
  <c r="G10" i="2" s="1"/>
  <c r="G35" i="2" s="1"/>
  <c r="E8" i="2"/>
  <c r="E10" i="2" s="1"/>
  <c r="E35" i="2" s="1"/>
  <c r="D8" i="2"/>
  <c r="D10" i="2" s="1"/>
  <c r="D35" i="2" s="1"/>
  <c r="C8" i="2"/>
  <c r="C10" i="2" s="1"/>
  <c r="C35" i="2" s="1"/>
  <c r="L8" i="2"/>
  <c r="L7" i="1"/>
  <c r="L5" i="1"/>
  <c r="L8" i="1" s="1"/>
  <c r="L11" i="1" s="1"/>
  <c r="N16" i="2" l="1"/>
  <c r="N19" i="2" s="1"/>
  <c r="N21" i="2" s="1"/>
  <c r="N23" i="2" s="1"/>
  <c r="M36" i="2"/>
  <c r="M37" i="2"/>
  <c r="S30" i="2"/>
  <c r="S29" i="2"/>
  <c r="T30" i="2"/>
  <c r="S31" i="2"/>
  <c r="V30" i="2"/>
  <c r="U30" i="2"/>
  <c r="Q43" i="2"/>
  <c r="Q51" i="2"/>
  <c r="S50" i="2"/>
  <c r="S51" i="2" s="1"/>
  <c r="T48" i="2"/>
  <c r="R51" i="2"/>
  <c r="S47" i="2"/>
  <c r="I27" i="2"/>
  <c r="E41" i="2"/>
  <c r="R59" i="2"/>
  <c r="Q60" i="2"/>
  <c r="T46" i="2"/>
  <c r="G27" i="2"/>
  <c r="H27" i="2"/>
  <c r="F8" i="2"/>
  <c r="F10" i="2" s="1"/>
  <c r="F16" i="2" s="1"/>
  <c r="F19" i="2" s="1"/>
  <c r="F21" i="2" s="1"/>
  <c r="F23" i="2" s="1"/>
  <c r="D41" i="2"/>
  <c r="J8" i="2"/>
  <c r="H41" i="2"/>
  <c r="I41" i="2"/>
  <c r="P59" i="2"/>
  <c r="Q59" i="2"/>
  <c r="R60" i="2"/>
  <c r="R16" i="2"/>
  <c r="R19" i="2" s="1"/>
  <c r="R21" i="2" s="1"/>
  <c r="R23" i="2" s="1"/>
  <c r="P60" i="2"/>
  <c r="C16" i="2"/>
  <c r="R35" i="2"/>
  <c r="I16" i="2"/>
  <c r="R27" i="2"/>
  <c r="Q27" i="2"/>
  <c r="Q16" i="2"/>
  <c r="P16" i="2"/>
  <c r="K27" i="2"/>
  <c r="K16" i="2"/>
  <c r="L27" i="2"/>
  <c r="E16" i="2"/>
  <c r="D16" i="2"/>
  <c r="G16" i="2"/>
  <c r="L10" i="2"/>
  <c r="H16" i="2"/>
  <c r="T8" i="2" l="1"/>
  <c r="T11" i="2" s="1"/>
  <c r="T31" i="2" s="1"/>
  <c r="T29" i="2"/>
  <c r="U48" i="2"/>
  <c r="T49" i="2"/>
  <c r="T50" i="2"/>
  <c r="U46" i="2"/>
  <c r="T47" i="2"/>
  <c r="D19" i="2"/>
  <c r="D21" i="2" s="1"/>
  <c r="D36" i="2"/>
  <c r="E19" i="2"/>
  <c r="E21" i="2" s="1"/>
  <c r="E36" i="2"/>
  <c r="I19" i="2"/>
  <c r="I21" i="2" s="1"/>
  <c r="I36" i="2"/>
  <c r="J10" i="2"/>
  <c r="J27" i="2"/>
  <c r="T57" i="2"/>
  <c r="S27" i="2"/>
  <c r="S10" i="2"/>
  <c r="S35" i="2" s="1"/>
  <c r="J16" i="2"/>
  <c r="J35" i="2"/>
  <c r="C19" i="2"/>
  <c r="C21" i="2" s="1"/>
  <c r="C36" i="2"/>
  <c r="R36" i="2"/>
  <c r="R37" i="2"/>
  <c r="P19" i="2"/>
  <c r="P21" i="2" s="1"/>
  <c r="P36" i="2"/>
  <c r="Q19" i="2"/>
  <c r="Q21" i="2" s="1"/>
  <c r="Q36" i="2"/>
  <c r="G19" i="2"/>
  <c r="G21" i="2" s="1"/>
  <c r="G36" i="2"/>
  <c r="K19" i="2"/>
  <c r="K21" i="2" s="1"/>
  <c r="K36" i="2"/>
  <c r="H36" i="2"/>
  <c r="H19" i="2"/>
  <c r="H21" i="2" s="1"/>
  <c r="L35" i="2"/>
  <c r="L16" i="2"/>
  <c r="U29" i="2" l="1"/>
  <c r="U8" i="2"/>
  <c r="U11" i="2" s="1"/>
  <c r="U31" i="2" s="1"/>
  <c r="W30" i="2"/>
  <c r="S15" i="2"/>
  <c r="S16" i="2" s="1"/>
  <c r="V48" i="2"/>
  <c r="U49" i="2"/>
  <c r="E23" i="2"/>
  <c r="E37" i="2"/>
  <c r="U57" i="2"/>
  <c r="I23" i="2"/>
  <c r="I37" i="2"/>
  <c r="U50" i="2"/>
  <c r="V46" i="2"/>
  <c r="U47" i="2"/>
  <c r="D23" i="2"/>
  <c r="D37" i="2"/>
  <c r="T51" i="2"/>
  <c r="J19" i="2"/>
  <c r="J21" i="2" s="1"/>
  <c r="J36" i="2"/>
  <c r="C23" i="2"/>
  <c r="C37" i="2"/>
  <c r="K23" i="2"/>
  <c r="K37" i="2"/>
  <c r="G23" i="2"/>
  <c r="G37" i="2"/>
  <c r="Q23" i="2"/>
  <c r="Q37" i="2"/>
  <c r="P23" i="2"/>
  <c r="P37" i="2"/>
  <c r="H23" i="2"/>
  <c r="H37" i="2"/>
  <c r="L36" i="2"/>
  <c r="L19" i="2"/>
  <c r="L21" i="2" s="1"/>
  <c r="S19" i="2" l="1"/>
  <c r="S36" i="2"/>
  <c r="V29" i="2"/>
  <c r="V8" i="2"/>
  <c r="V11" i="2" s="1"/>
  <c r="V31" i="2" s="1"/>
  <c r="X30" i="2"/>
  <c r="W48" i="2"/>
  <c r="V49" i="2"/>
  <c r="V57" i="2"/>
  <c r="T9" i="2"/>
  <c r="T10" i="2" s="1"/>
  <c r="T27" i="2"/>
  <c r="T13" i="2"/>
  <c r="U51" i="2"/>
  <c r="W46" i="2"/>
  <c r="V47" i="2"/>
  <c r="V50" i="2"/>
  <c r="S21" i="2"/>
  <c r="S37" i="2" s="1"/>
  <c r="J23" i="2"/>
  <c r="J37" i="2"/>
  <c r="L23" i="2"/>
  <c r="L37" i="2"/>
  <c r="W29" i="2" l="1"/>
  <c r="W8" i="2"/>
  <c r="W11" i="2" s="1"/>
  <c r="W31" i="2" s="1"/>
  <c r="Y30" i="2"/>
  <c r="X48" i="2"/>
  <c r="W49" i="2"/>
  <c r="V51" i="2"/>
  <c r="T15" i="2"/>
  <c r="T16" i="2" s="1"/>
  <c r="T19" i="2" s="1"/>
  <c r="X46" i="2"/>
  <c r="W47" i="2"/>
  <c r="W50" i="2"/>
  <c r="U27" i="2"/>
  <c r="U9" i="2"/>
  <c r="U10" i="2" s="1"/>
  <c r="U13" i="2"/>
  <c r="W57" i="2"/>
  <c r="X29" i="2" l="1"/>
  <c r="X8" i="2"/>
  <c r="X11" i="2" s="1"/>
  <c r="X31" i="2" s="1"/>
  <c r="T20" i="2"/>
  <c r="T21" i="2" s="1"/>
  <c r="U15" i="2"/>
  <c r="U16" i="2" s="1"/>
  <c r="U19" i="2" s="1"/>
  <c r="Y48" i="2"/>
  <c r="Y49" i="2" s="1"/>
  <c r="X49" i="2"/>
  <c r="Y57" i="2"/>
  <c r="X57" i="2"/>
  <c r="Y46" i="2"/>
  <c r="X47" i="2"/>
  <c r="X50" i="2"/>
  <c r="W51" i="2"/>
  <c r="V27" i="2"/>
  <c r="V9" i="2"/>
  <c r="V10" i="2" s="1"/>
  <c r="V13" i="2"/>
  <c r="Y29" i="2" l="1"/>
  <c r="Y8" i="2"/>
  <c r="Y11" i="2" s="1"/>
  <c r="Y31" i="2" s="1"/>
  <c r="U20" i="2"/>
  <c r="U21" i="2" s="1"/>
  <c r="W9" i="2"/>
  <c r="W10" i="2" s="1"/>
  <c r="W13" i="2"/>
  <c r="W27" i="2"/>
  <c r="X51" i="2"/>
  <c r="Y47" i="2"/>
  <c r="Y50" i="2"/>
  <c r="V15" i="2"/>
  <c r="V16" i="2" s="1"/>
  <c r="V19" i="2" s="1"/>
  <c r="V20" i="2" l="1"/>
  <c r="V21" i="2" s="1"/>
  <c r="X13" i="2"/>
  <c r="X27" i="2"/>
  <c r="X9" i="2"/>
  <c r="X10" i="2" s="1"/>
  <c r="Y51" i="2"/>
  <c r="W15" i="2"/>
  <c r="W16" i="2" s="1"/>
  <c r="W19" i="2" s="1"/>
  <c r="W20" i="2" l="1"/>
  <c r="W21" i="2" s="1"/>
  <c r="Y13" i="2"/>
  <c r="Y27" i="2"/>
  <c r="Y9" i="2"/>
  <c r="Y10" i="2" s="1"/>
  <c r="X15" i="2"/>
  <c r="X16" i="2" s="1"/>
  <c r="X19" i="2" s="1"/>
  <c r="X20" i="2" l="1"/>
  <c r="X21" i="2" s="1"/>
  <c r="Y15" i="2"/>
  <c r="Y16" i="2" s="1"/>
  <c r="Y19" i="2" s="1"/>
  <c r="Y20" i="2" l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B5" i="2" s="1"/>
  <c r="AB7" i="2" s="1"/>
  <c r="AB8" i="2" s="1"/>
</calcChain>
</file>

<file path=xl/sharedStrings.xml><?xml version="1.0" encoding="utf-8"?>
<sst xmlns="http://schemas.openxmlformats.org/spreadsheetml/2006/main" count="78" uniqueCount="74">
  <si>
    <t>ticket</t>
  </si>
  <si>
    <t>price</t>
  </si>
  <si>
    <t>mc</t>
  </si>
  <si>
    <t>cash</t>
  </si>
  <si>
    <t>debt</t>
  </si>
  <si>
    <t>ev</t>
  </si>
  <si>
    <t>BMBL</t>
  </si>
  <si>
    <t>Bumble app</t>
  </si>
  <si>
    <t>Badoo App and Other</t>
  </si>
  <si>
    <t>Revenue</t>
  </si>
  <si>
    <t>Q2 2022</t>
  </si>
  <si>
    <t>Q2 2023</t>
  </si>
  <si>
    <t>Q2 2024</t>
  </si>
  <si>
    <t>Q1 2024</t>
  </si>
  <si>
    <t>Q3 2023</t>
  </si>
  <si>
    <t>Q4 2023</t>
  </si>
  <si>
    <t>Q1 2023</t>
  </si>
  <si>
    <t>Q4 2022</t>
  </si>
  <si>
    <t>Q3 2022</t>
  </si>
  <si>
    <t>Q1 2022</t>
  </si>
  <si>
    <t>COGS</t>
  </si>
  <si>
    <t>Gross Profit</t>
  </si>
  <si>
    <t>S&amp;M</t>
  </si>
  <si>
    <t>G&amp;A</t>
  </si>
  <si>
    <t>R&amp;D</t>
  </si>
  <si>
    <t>D&amp;A</t>
  </si>
  <si>
    <t>Total Opex</t>
  </si>
  <si>
    <t>Operating Income</t>
  </si>
  <si>
    <t>main</t>
  </si>
  <si>
    <t>Net Interest</t>
  </si>
  <si>
    <t>Other income</t>
  </si>
  <si>
    <t>Pretax Income</t>
  </si>
  <si>
    <t>Taxes</t>
  </si>
  <si>
    <t>Net Income</t>
  </si>
  <si>
    <t>Shares</t>
  </si>
  <si>
    <t>EPS</t>
  </si>
  <si>
    <t>Revenue Y/Y</t>
  </si>
  <si>
    <t>Gross Margin</t>
  </si>
  <si>
    <t>Operating Margin</t>
  </si>
  <si>
    <t>Net Margin</t>
  </si>
  <si>
    <t>CFFO</t>
  </si>
  <si>
    <t>CAPEX</t>
  </si>
  <si>
    <t>FCF</t>
  </si>
  <si>
    <t>Buybacks</t>
  </si>
  <si>
    <t>FCF TTM</t>
  </si>
  <si>
    <t>Bumble App Paying Users</t>
  </si>
  <si>
    <t>Badoo App Paying Users</t>
  </si>
  <si>
    <t>Total Paying Users</t>
  </si>
  <si>
    <t>Bumble ARPU</t>
  </si>
  <si>
    <t>Badoo ARPU</t>
  </si>
  <si>
    <t>Total ARPU</t>
  </si>
  <si>
    <t>YoY</t>
  </si>
  <si>
    <t>Bumble app Y/Y</t>
  </si>
  <si>
    <t>Badoo App and Other Y/Y</t>
  </si>
  <si>
    <t>North America</t>
  </si>
  <si>
    <t>Rest of the world</t>
  </si>
  <si>
    <t>% US</t>
  </si>
  <si>
    <t>%RoW</t>
  </si>
  <si>
    <t>TTM FCF/EV</t>
  </si>
  <si>
    <t>S&amp;M y/y</t>
  </si>
  <si>
    <t>G&amp;A y/y</t>
  </si>
  <si>
    <t>R&amp;D y/y</t>
  </si>
  <si>
    <t>US y/y</t>
  </si>
  <si>
    <t>RoW y/y</t>
  </si>
  <si>
    <t>Discount</t>
  </si>
  <si>
    <t>Maturity</t>
  </si>
  <si>
    <t>ROIC</t>
  </si>
  <si>
    <t>NPV</t>
  </si>
  <si>
    <t>Net Cash</t>
  </si>
  <si>
    <t>Value</t>
  </si>
  <si>
    <t>Price</t>
  </si>
  <si>
    <t>S/O</t>
  </si>
  <si>
    <t>Q3 2024</t>
  </si>
  <si>
    <t>Q4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</si>
</sst>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0.0%"/>
    <numFmt numFmtId="165" formatCode="_-[$$-409]* #,##0.00_ ;_-[$$-409]* \-#,##0.00\ ;_-[$$-409]* &quot;-&quot;??_ ;_-@_ "/>
    <numFmt numFmtId="166" formatCode="0.00\x"/>
    <numFmt numFmtId="167" formatCode="#,##0.00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166" fontId="1" fillId="0" borderId="0" xfId="0" applyNumberFormat="1" applyFont="1"/>
    <xf numFmtId="4" fontId="1" fillId="0" borderId="0" xfId="0" applyNumberFormat="1" applyFont="1"/>
    <xf numFmtId="8" fontId="1" fillId="0" borderId="0" xfId="0" applyNumberFormat="1" applyFont="1"/>
    <xf numFmtId="16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601980</xdr:colOff>
      <xdr:row>0</xdr:row>
      <xdr:rowOff>0</xdr:rowOff>
    </xdr:from>
    <xdr:to>
      <xdr:col>18</xdr:col>
      <xdr:colOff>621030</xdr:colOff>
      <xdr:row>67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35750-BD4C-B8F7-F2A9-1F4D7D502546}"/>
            </a:ext>
          </a:extLst>
        </xdr:cNvPr>
        <xdr:cNvCxnSpPr/>
      </xdr:nvCxnSpPr>
      <xdr:spPr>
        <a:xfrm flipH="1">
          <a:off x="12542520" y="0"/>
          <a:ext cx="19050" cy="112890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617220</xdr:colOff>
      <xdr:row>0</xdr:row>
      <xdr:rowOff>0</xdr:rowOff>
    </xdr:from>
    <xdr:to>
      <xdr:col>14</xdr:col>
      <xdr:colOff>1905</xdr:colOff>
      <xdr:row>69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097140A-A633-456B-8B96-F7555443B0DC}"/>
            </a:ext>
          </a:extLst>
        </xdr:cNvPr>
        <xdr:cNvCxnSpPr/>
      </xdr:nvCxnSpPr>
      <xdr:spPr>
        <a:xfrm flipH="1">
          <a:off x="9433560" y="0"/>
          <a:ext cx="9525" cy="116243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B1F6-5762-46D6-B5A8-983DF3704362}">
  <dimension ref="K2:L11"/>
  <sheetViews>
    <sheetView workbookViewId="0">
      <selection activeCell="L11" sqref="L11"/>
    </sheetView>
  </sheetViews>
  <sheetFormatPr defaultColWidth="9.109375" defaultRowHeight="13.2" x14ac:dyDescent="0.25"/>
  <cols>
    <col min="1" max="10" width="9.109375" style="1"/>
    <col min="11" max="11" width="11.88671875" style="1" bestFit="1" customWidth="1"/>
    <col min="12" max="16384" width="9.109375" style="1"/>
  </cols>
  <sheetData>
    <row r="2" spans="11:12" x14ac:dyDescent="0.25">
      <c r="K2" s="5" t="s">
        <v>0</v>
      </c>
      <c r="L2" s="3" t="s">
        <v>6</v>
      </c>
    </row>
    <row r="3" spans="11:12" x14ac:dyDescent="0.25">
      <c r="K3" s="5" t="s">
        <v>1</v>
      </c>
      <c r="L3" s="3">
        <v>6.96</v>
      </c>
    </row>
    <row r="4" spans="11:12" x14ac:dyDescent="0.25">
      <c r="K4" s="5" t="s">
        <v>71</v>
      </c>
      <c r="L4" s="3">
        <v>126.539</v>
      </c>
    </row>
    <row r="5" spans="11:12" x14ac:dyDescent="0.25">
      <c r="K5" s="5" t="s">
        <v>2</v>
      </c>
      <c r="L5" s="4">
        <f>+L3*L4</f>
        <v>880.71144000000004</v>
      </c>
    </row>
    <row r="6" spans="11:12" x14ac:dyDescent="0.25">
      <c r="K6" s="5" t="s">
        <v>3</v>
      </c>
      <c r="L6" s="4">
        <v>286.66399999999999</v>
      </c>
    </row>
    <row r="7" spans="11:12" x14ac:dyDescent="0.25">
      <c r="K7" s="5" t="s">
        <v>4</v>
      </c>
      <c r="L7" s="4">
        <f>5.75+613.194</f>
        <v>618.94399999999996</v>
      </c>
    </row>
    <row r="8" spans="11:12" x14ac:dyDescent="0.25">
      <c r="K8" s="5" t="s">
        <v>5</v>
      </c>
      <c r="L8" s="4">
        <f>+L5-L6+L7</f>
        <v>1212.99144</v>
      </c>
    </row>
    <row r="11" spans="11:12" x14ac:dyDescent="0.25">
      <c r="K11" s="1" t="s">
        <v>58</v>
      </c>
      <c r="L11" s="12">
        <f>+L8/172.8</f>
        <v>7.0196263888888888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6342-2E34-4295-8DA6-E8ABCBF314C2}">
  <dimension ref="A1:AW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4" sqref="S24"/>
    </sheetView>
  </sheetViews>
  <sheetFormatPr defaultColWidth="9.109375" defaultRowHeight="13.2" x14ac:dyDescent="0.25"/>
  <cols>
    <col min="1" max="1" width="5" style="1" bestFit="1" customWidth="1"/>
    <col min="2" max="2" width="23.33203125" style="1" bestFit="1" customWidth="1"/>
    <col min="3" max="27" width="9.109375" style="1"/>
    <col min="28" max="28" width="9.6640625" style="1" bestFit="1" customWidth="1"/>
    <col min="29" max="16384" width="9.109375" style="1"/>
  </cols>
  <sheetData>
    <row r="1" spans="1:28" x14ac:dyDescent="0.25">
      <c r="A1" s="11" t="s">
        <v>28</v>
      </c>
      <c r="C1" s="5" t="s">
        <v>19</v>
      </c>
      <c r="D1" s="5" t="s">
        <v>10</v>
      </c>
      <c r="E1" s="5" t="s">
        <v>18</v>
      </c>
      <c r="F1" s="5" t="s">
        <v>17</v>
      </c>
      <c r="G1" s="5" t="s">
        <v>16</v>
      </c>
      <c r="H1" s="5" t="s">
        <v>11</v>
      </c>
      <c r="I1" s="5" t="s">
        <v>14</v>
      </c>
      <c r="J1" s="5" t="s">
        <v>15</v>
      </c>
      <c r="K1" s="5" t="s">
        <v>13</v>
      </c>
      <c r="L1" s="5" t="s">
        <v>12</v>
      </c>
      <c r="M1" s="5" t="s">
        <v>72</v>
      </c>
      <c r="N1" s="5" t="s">
        <v>73</v>
      </c>
      <c r="P1" s="5">
        <v>2021</v>
      </c>
      <c r="Q1" s="5">
        <f>+P1+1</f>
        <v>2022</v>
      </c>
      <c r="R1" s="5">
        <f t="shared" ref="R1:Y1" si="0">+Q1+1</f>
        <v>2023</v>
      </c>
      <c r="S1" s="5">
        <f t="shared" si="0"/>
        <v>2024</v>
      </c>
      <c r="T1" s="5">
        <f t="shared" si="0"/>
        <v>2025</v>
      </c>
      <c r="U1" s="5">
        <f t="shared" si="0"/>
        <v>2026</v>
      </c>
      <c r="V1" s="5">
        <f t="shared" si="0"/>
        <v>2027</v>
      </c>
      <c r="W1" s="5">
        <f t="shared" si="0"/>
        <v>2028</v>
      </c>
      <c r="X1" s="5">
        <f t="shared" si="0"/>
        <v>2029</v>
      </c>
      <c r="Y1" s="5">
        <f t="shared" si="0"/>
        <v>2030</v>
      </c>
    </row>
    <row r="2" spans="1:28" x14ac:dyDescent="0.25">
      <c r="A2" s="11"/>
      <c r="B2" s="1" t="s">
        <v>54</v>
      </c>
      <c r="C2" s="6"/>
      <c r="D2" s="6"/>
      <c r="E2" s="6"/>
      <c r="F2" s="6"/>
      <c r="G2" s="6"/>
      <c r="H2" s="6"/>
      <c r="I2" s="2">
        <v>143.56700000000001</v>
      </c>
      <c r="J2" s="6"/>
      <c r="K2" s="6"/>
      <c r="L2" s="6"/>
      <c r="M2" s="2">
        <v>128.96799999999999</v>
      </c>
      <c r="N2" s="2"/>
      <c r="P2" s="2">
        <v>439.35</v>
      </c>
      <c r="Q2" s="2">
        <v>546.48500000000001</v>
      </c>
      <c r="R2" s="2">
        <v>597.54499999999996</v>
      </c>
      <c r="S2" s="2">
        <v>516.93200000000002</v>
      </c>
      <c r="T2" s="2">
        <f>+S2*1.01</f>
        <v>522.10131999999999</v>
      </c>
      <c r="U2" s="2">
        <f t="shared" ref="U2:Y2" si="1">+T2*1.01</f>
        <v>527.3223332</v>
      </c>
      <c r="V2" s="2">
        <f t="shared" si="1"/>
        <v>532.59555653200005</v>
      </c>
      <c r="W2" s="2">
        <f t="shared" si="1"/>
        <v>537.92151209732003</v>
      </c>
      <c r="X2" s="2">
        <f t="shared" si="1"/>
        <v>543.30072721829322</v>
      </c>
      <c r="Y2" s="2">
        <f t="shared" si="1"/>
        <v>548.73373449047619</v>
      </c>
      <c r="AA2" s="1" t="s">
        <v>64</v>
      </c>
      <c r="AB2" s="7">
        <v>0.1</v>
      </c>
    </row>
    <row r="3" spans="1:28" x14ac:dyDescent="0.25">
      <c r="A3" s="11"/>
      <c r="B3" s="1" t="s">
        <v>55</v>
      </c>
      <c r="C3" s="6"/>
      <c r="D3" s="6"/>
      <c r="E3" s="6"/>
      <c r="F3" s="6"/>
      <c r="G3" s="6"/>
      <c r="H3" s="6"/>
      <c r="I3" s="2">
        <v>131.94300000000001</v>
      </c>
      <c r="J3" s="6"/>
      <c r="K3" s="6"/>
      <c r="L3" s="6"/>
      <c r="M3" s="2">
        <v>144.637</v>
      </c>
      <c r="N3" s="2"/>
      <c r="P3" s="2">
        <v>321.56</v>
      </c>
      <c r="Q3" s="2">
        <v>357.01799999999997</v>
      </c>
      <c r="R3" s="2">
        <v>454.28500000000003</v>
      </c>
      <c r="S3" s="2">
        <v>554.71100000000001</v>
      </c>
      <c r="T3" s="2">
        <f>+S3*1.05</f>
        <v>582.44655</v>
      </c>
      <c r="U3" s="2">
        <f t="shared" ref="U3:Y3" si="2">+T3*1.05</f>
        <v>611.56887749999999</v>
      </c>
      <c r="V3" s="2">
        <f t="shared" si="2"/>
        <v>642.14732137500005</v>
      </c>
      <c r="W3" s="2">
        <f t="shared" si="2"/>
        <v>674.25468744375007</v>
      </c>
      <c r="X3" s="2">
        <f t="shared" si="2"/>
        <v>707.96742181593766</v>
      </c>
      <c r="Y3" s="2">
        <f t="shared" si="2"/>
        <v>743.36579290673455</v>
      </c>
      <c r="AA3" s="1" t="s">
        <v>65</v>
      </c>
      <c r="AB3" s="7">
        <v>0</v>
      </c>
    </row>
    <row r="4" spans="1:28" x14ac:dyDescent="0.25">
      <c r="A4" s="11"/>
      <c r="C4" s="5"/>
      <c r="D4" s="5"/>
      <c r="E4" s="5"/>
      <c r="F4" s="5"/>
      <c r="G4" s="5"/>
      <c r="H4" s="5"/>
      <c r="I4" s="5"/>
      <c r="J4" s="5"/>
      <c r="K4" s="5"/>
      <c r="L4" s="5"/>
      <c r="M4" s="2"/>
      <c r="N4" s="2"/>
      <c r="P4" s="5"/>
      <c r="Q4" s="5"/>
      <c r="R4" s="5"/>
      <c r="S4" s="5"/>
      <c r="T4" s="5"/>
      <c r="U4" s="5"/>
      <c r="V4" s="5"/>
      <c r="W4" s="5"/>
      <c r="X4" s="5"/>
      <c r="Y4" s="5"/>
      <c r="AA4" s="1" t="s">
        <v>66</v>
      </c>
      <c r="AB4" s="7">
        <v>0</v>
      </c>
    </row>
    <row r="5" spans="1:28" x14ac:dyDescent="0.25">
      <c r="B5" s="1" t="s">
        <v>7</v>
      </c>
      <c r="C5" s="2">
        <v>155.41999999999999</v>
      </c>
      <c r="D5" s="2">
        <v>169.608</v>
      </c>
      <c r="E5" s="2">
        <v>180.64099999999999</v>
      </c>
      <c r="F5" s="2">
        <f>+Q5-SUM(C5:E5)</f>
        <v>188.65999999999997</v>
      </c>
      <c r="G5" s="2">
        <v>194.27699999999999</v>
      </c>
      <c r="H5" s="2">
        <v>207.977</v>
      </c>
      <c r="I5" s="2">
        <v>221.785</v>
      </c>
      <c r="J5" s="2">
        <f>+R5-SUM(G5:I5)</f>
        <v>220.73500000000001</v>
      </c>
      <c r="K5" s="2">
        <v>215.75700000000001</v>
      </c>
      <c r="L5" s="2">
        <v>217.98400000000001</v>
      </c>
      <c r="M5" s="2">
        <v>220.18799999999999</v>
      </c>
      <c r="N5" s="2">
        <v>212.4</v>
      </c>
      <c r="P5" s="2">
        <v>528.58500000000004</v>
      </c>
      <c r="Q5" s="2">
        <v>694.32899999999995</v>
      </c>
      <c r="R5" s="2">
        <v>844.774</v>
      </c>
      <c r="S5" s="2">
        <f>+SUM(K5:N5)</f>
        <v>866.32899999999995</v>
      </c>
      <c r="T5" s="2"/>
      <c r="U5" s="2"/>
      <c r="V5" s="2"/>
      <c r="W5" s="2"/>
      <c r="X5" s="2"/>
      <c r="Y5" s="2"/>
      <c r="AA5" s="1" t="s">
        <v>67</v>
      </c>
      <c r="AB5" s="2">
        <f>+NPV(AB2,S21:AW21)</f>
        <v>1413.181334324579</v>
      </c>
    </row>
    <row r="6" spans="1:28" x14ac:dyDescent="0.25">
      <c r="B6" s="1" t="s">
        <v>8</v>
      </c>
      <c r="C6" s="2">
        <v>55.779000000000003</v>
      </c>
      <c r="D6" s="2">
        <v>50.845999999999997</v>
      </c>
      <c r="E6" s="2">
        <v>51.997999999999998</v>
      </c>
      <c r="F6" s="2">
        <f t="shared" ref="F6" si="3">+Q6-SUM(C6:E6)</f>
        <v>50.551000000000016</v>
      </c>
      <c r="G6" s="2">
        <v>48.670999999999999</v>
      </c>
      <c r="H6" s="2">
        <v>51.758000000000003</v>
      </c>
      <c r="I6" s="2">
        <v>53.725000000000001</v>
      </c>
      <c r="J6" s="2">
        <f t="shared" ref="J6" si="4">+R6-SUM(G6:I6)</f>
        <v>52.902000000000015</v>
      </c>
      <c r="K6" s="2">
        <v>52.018000000000001</v>
      </c>
      <c r="L6" s="2">
        <v>50.631</v>
      </c>
      <c r="M6" s="2">
        <v>53.146999999999998</v>
      </c>
      <c r="N6" s="2">
        <v>49.3</v>
      </c>
      <c r="P6" s="2">
        <v>232.32499999999999</v>
      </c>
      <c r="Q6" s="2">
        <v>209.17400000000001</v>
      </c>
      <c r="R6" s="2">
        <v>207.05600000000001</v>
      </c>
      <c r="S6" s="2">
        <f t="shared" ref="S6" si="5">+SUM(K6:N6)</f>
        <v>205.096</v>
      </c>
      <c r="T6" s="2"/>
      <c r="U6" s="2"/>
      <c r="V6" s="2"/>
      <c r="W6" s="2"/>
      <c r="X6" s="2"/>
      <c r="Y6" s="2"/>
      <c r="AA6" s="1" t="s">
        <v>68</v>
      </c>
      <c r="AB6" s="2">
        <f>+main!L6-main!L7</f>
        <v>-332.28</v>
      </c>
    </row>
    <row r="7" spans="1:28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AA7" s="1" t="s">
        <v>69</v>
      </c>
      <c r="AB7" s="2">
        <f>+AB5+AB6</f>
        <v>1080.901334324579</v>
      </c>
    </row>
    <row r="8" spans="1:28" x14ac:dyDescent="0.25">
      <c r="B8" s="5" t="s">
        <v>9</v>
      </c>
      <c r="C8" s="6">
        <f t="shared" ref="C8:K8" si="6">+C5+C6</f>
        <v>211.19899999999998</v>
      </c>
      <c r="D8" s="6">
        <f t="shared" si="6"/>
        <v>220.45400000000001</v>
      </c>
      <c r="E8" s="6">
        <f t="shared" si="6"/>
        <v>232.63899999999998</v>
      </c>
      <c r="F8" s="6">
        <f t="shared" si="6"/>
        <v>239.21099999999998</v>
      </c>
      <c r="G8" s="6">
        <f t="shared" si="6"/>
        <v>242.94799999999998</v>
      </c>
      <c r="H8" s="6">
        <f t="shared" si="6"/>
        <v>259.73500000000001</v>
      </c>
      <c r="I8" s="6">
        <f t="shared" si="6"/>
        <v>275.51</v>
      </c>
      <c r="J8" s="6">
        <f t="shared" si="6"/>
        <v>273.63700000000006</v>
      </c>
      <c r="K8" s="6">
        <f t="shared" si="6"/>
        <v>267.77499999999998</v>
      </c>
      <c r="L8" s="6">
        <f>+L5+L6</f>
        <v>268.61500000000001</v>
      </c>
      <c r="M8" s="6">
        <f t="shared" ref="M8:N8" si="7">+M5+M6</f>
        <v>273.33499999999998</v>
      </c>
      <c r="N8" s="6">
        <f t="shared" si="7"/>
        <v>261.7</v>
      </c>
      <c r="P8" s="6">
        <f>+P5+P6</f>
        <v>760.91000000000008</v>
      </c>
      <c r="Q8" s="6">
        <f t="shared" ref="Q8:R8" si="8">+Q5+Q6</f>
        <v>903.50299999999993</v>
      </c>
      <c r="R8" s="6">
        <f t="shared" si="8"/>
        <v>1051.83</v>
      </c>
      <c r="S8" s="6">
        <f>+S2+S3</f>
        <v>1071.643</v>
      </c>
      <c r="T8" s="6">
        <f t="shared" ref="S8:Y8" si="9">+T2+T3</f>
        <v>1104.5478699999999</v>
      </c>
      <c r="U8" s="6">
        <f t="shared" si="9"/>
        <v>1138.8912107000001</v>
      </c>
      <c r="V8" s="6">
        <f t="shared" si="9"/>
        <v>1174.7428779070001</v>
      </c>
      <c r="W8" s="6">
        <f t="shared" si="9"/>
        <v>1212.1761995410702</v>
      </c>
      <c r="X8" s="6">
        <f t="shared" si="9"/>
        <v>1251.2681490342309</v>
      </c>
      <c r="Y8" s="6">
        <f t="shared" si="9"/>
        <v>1292.0995273972107</v>
      </c>
      <c r="AA8" s="1" t="s">
        <v>70</v>
      </c>
      <c r="AB8" s="9">
        <f>+AB7/main!L4</f>
        <v>8.5420410650042999</v>
      </c>
    </row>
    <row r="9" spans="1:28" x14ac:dyDescent="0.25">
      <c r="B9" s="1" t="s">
        <v>20</v>
      </c>
      <c r="C9" s="2">
        <v>56.780999999999999</v>
      </c>
      <c r="D9" s="2">
        <v>62.756999999999998</v>
      </c>
      <c r="E9" s="2">
        <v>64.581000000000003</v>
      </c>
      <c r="F9" s="2">
        <v>67.787999999999997</v>
      </c>
      <c r="G9" s="2">
        <v>70.58</v>
      </c>
      <c r="H9" s="2">
        <v>76.736999999999995</v>
      </c>
      <c r="I9" s="2">
        <v>80.049000000000007</v>
      </c>
      <c r="J9" s="2">
        <v>80.468999999999994</v>
      </c>
      <c r="K9" s="2">
        <v>81.289000000000001</v>
      </c>
      <c r="L9" s="2">
        <v>80.040999999999997</v>
      </c>
      <c r="M9" s="2">
        <v>79.552000000000007</v>
      </c>
      <c r="N9" s="2">
        <f>+S9-M9-L9-K9</f>
        <v>77.95299999999996</v>
      </c>
      <c r="P9" s="2">
        <v>205.57300000000001</v>
      </c>
      <c r="Q9" s="2">
        <v>249.49</v>
      </c>
      <c r="R9" s="2">
        <v>307.83499999999998</v>
      </c>
      <c r="S9" s="2">
        <v>318.83499999999998</v>
      </c>
      <c r="T9" s="2">
        <f t="shared" ref="T9:Y9" si="10">+T8*0.3</f>
        <v>331.36436099999997</v>
      </c>
      <c r="U9" s="2">
        <f t="shared" si="10"/>
        <v>341.66736321000002</v>
      </c>
      <c r="V9" s="2">
        <f t="shared" si="10"/>
        <v>352.42286337210004</v>
      </c>
      <c r="W9" s="2">
        <f t="shared" si="10"/>
        <v>363.65285986232107</v>
      </c>
      <c r="X9" s="2">
        <f t="shared" si="10"/>
        <v>375.38044471026927</v>
      </c>
      <c r="Y9" s="2">
        <f t="shared" si="10"/>
        <v>387.62985821916322</v>
      </c>
    </row>
    <row r="10" spans="1:28" x14ac:dyDescent="0.25">
      <c r="B10" s="1" t="s">
        <v>21</v>
      </c>
      <c r="C10" s="2">
        <f t="shared" ref="C10:K10" si="11">+C8-C9</f>
        <v>154.41799999999998</v>
      </c>
      <c r="D10" s="2">
        <f t="shared" si="11"/>
        <v>157.697</v>
      </c>
      <c r="E10" s="2">
        <f t="shared" si="11"/>
        <v>168.05799999999999</v>
      </c>
      <c r="F10" s="2">
        <f t="shared" si="11"/>
        <v>171.423</v>
      </c>
      <c r="G10" s="2">
        <f t="shared" si="11"/>
        <v>172.36799999999999</v>
      </c>
      <c r="H10" s="2">
        <f t="shared" si="11"/>
        <v>182.99800000000002</v>
      </c>
      <c r="I10" s="2">
        <f t="shared" si="11"/>
        <v>195.46099999999998</v>
      </c>
      <c r="J10" s="2">
        <f t="shared" si="11"/>
        <v>193.16800000000006</v>
      </c>
      <c r="K10" s="2">
        <f t="shared" si="11"/>
        <v>186.48599999999999</v>
      </c>
      <c r="L10" s="2">
        <f>+L8-L9</f>
        <v>188.57400000000001</v>
      </c>
      <c r="M10" s="2">
        <f t="shared" ref="M10:N10" si="12">+M8-M9</f>
        <v>193.78299999999996</v>
      </c>
      <c r="N10" s="2">
        <f t="shared" si="12"/>
        <v>183.74700000000001</v>
      </c>
      <c r="P10" s="2">
        <f>+P8-P9</f>
        <v>555.3370000000001</v>
      </c>
      <c r="Q10" s="2">
        <f t="shared" ref="Q10:Y10" si="13">+Q8-Q9</f>
        <v>654.01299999999992</v>
      </c>
      <c r="R10" s="2">
        <f t="shared" si="13"/>
        <v>743.99499999999989</v>
      </c>
      <c r="S10" s="2">
        <f t="shared" si="13"/>
        <v>752.80799999999999</v>
      </c>
      <c r="T10" s="2">
        <f t="shared" si="13"/>
        <v>773.18350899999996</v>
      </c>
      <c r="U10" s="2">
        <f t="shared" si="13"/>
        <v>797.22384749000003</v>
      </c>
      <c r="V10" s="2">
        <f t="shared" si="13"/>
        <v>822.32001453490011</v>
      </c>
      <c r="W10" s="2">
        <f t="shared" si="13"/>
        <v>848.52333967874915</v>
      </c>
      <c r="X10" s="2">
        <f t="shared" si="13"/>
        <v>875.88770432396154</v>
      </c>
      <c r="Y10" s="2">
        <f t="shared" si="13"/>
        <v>904.46966917804752</v>
      </c>
    </row>
    <row r="11" spans="1:28" x14ac:dyDescent="0.25">
      <c r="B11" s="1" t="s">
        <v>22</v>
      </c>
      <c r="C11" s="2">
        <v>56.829000000000001</v>
      </c>
      <c r="D11" s="2">
        <v>59.482999999999997</v>
      </c>
      <c r="E11" s="2">
        <v>64.316000000000003</v>
      </c>
      <c r="F11" s="2">
        <v>68.641000000000005</v>
      </c>
      <c r="G11" s="2">
        <v>63.59</v>
      </c>
      <c r="H11" s="2">
        <v>65.328999999999994</v>
      </c>
      <c r="I11" s="2">
        <v>68.847999999999999</v>
      </c>
      <c r="J11" s="2">
        <v>72.613</v>
      </c>
      <c r="K11" s="2">
        <v>63.616999999999997</v>
      </c>
      <c r="L11" s="2">
        <v>67.561999999999998</v>
      </c>
      <c r="M11" s="2">
        <v>63.548999999999999</v>
      </c>
      <c r="N11" s="2">
        <f t="shared" ref="N11:N14" si="14">+S11-M11-L11-K11</f>
        <v>66.444000000000045</v>
      </c>
      <c r="P11" s="2">
        <v>211.71100000000001</v>
      </c>
      <c r="Q11" s="2">
        <v>249.26900000000001</v>
      </c>
      <c r="R11" s="2">
        <v>270.38</v>
      </c>
      <c r="S11" s="2">
        <v>261.17200000000003</v>
      </c>
      <c r="T11" s="2">
        <f>+T8*0.23</f>
        <v>254.04601009999999</v>
      </c>
      <c r="U11" s="2">
        <f>+U8*0.22</f>
        <v>250.55606635400002</v>
      </c>
      <c r="V11" s="2">
        <f t="shared" ref="V11:Y11" si="15">+V8*0.22</f>
        <v>258.44343313954005</v>
      </c>
      <c r="W11" s="2">
        <f t="shared" si="15"/>
        <v>266.67876389903546</v>
      </c>
      <c r="X11" s="2">
        <f t="shared" si="15"/>
        <v>275.2789927875308</v>
      </c>
      <c r="Y11" s="2">
        <f t="shared" si="15"/>
        <v>284.26189602738634</v>
      </c>
    </row>
    <row r="12" spans="1:28" x14ac:dyDescent="0.25">
      <c r="B12" s="1" t="s">
        <v>23</v>
      </c>
      <c r="C12" s="2">
        <v>26.446000000000002</v>
      </c>
      <c r="D12" s="2">
        <v>51.375</v>
      </c>
      <c r="E12" s="2">
        <v>27.265000000000001</v>
      </c>
      <c r="F12" s="2">
        <v>208.79499999999999</v>
      </c>
      <c r="G12" s="2">
        <v>49.831000000000003</v>
      </c>
      <c r="H12" s="2">
        <v>43.298000000000002</v>
      </c>
      <c r="I12" s="2">
        <v>48.576999999999998</v>
      </c>
      <c r="J12" s="2">
        <v>79.942999999999998</v>
      </c>
      <c r="K12" s="2">
        <v>20.856000000000002</v>
      </c>
      <c r="L12" s="2">
        <v>36.329000000000001</v>
      </c>
      <c r="M12" s="2">
        <v>33.250999999999998</v>
      </c>
      <c r="N12" s="2">
        <f t="shared" si="14"/>
        <v>38.08499999999998</v>
      </c>
      <c r="P12" s="2">
        <v>257.48899999999998</v>
      </c>
      <c r="Q12" s="2">
        <v>308.85500000000002</v>
      </c>
      <c r="R12" s="2">
        <v>221.649</v>
      </c>
      <c r="S12" s="2">
        <v>128.52099999999999</v>
      </c>
      <c r="T12" s="2">
        <f t="shared" ref="T12:Y12" si="16">+S12*1.03</f>
        <v>132.37662999999998</v>
      </c>
      <c r="U12" s="2">
        <f t="shared" si="16"/>
        <v>136.34792889999997</v>
      </c>
      <c r="V12" s="2">
        <f t="shared" si="16"/>
        <v>140.43836676699996</v>
      </c>
      <c r="W12" s="2">
        <f t="shared" si="16"/>
        <v>144.65151777000997</v>
      </c>
      <c r="X12" s="2">
        <f t="shared" si="16"/>
        <v>148.99106330311028</v>
      </c>
      <c r="Y12" s="2">
        <f t="shared" si="16"/>
        <v>153.4607952022036</v>
      </c>
    </row>
    <row r="13" spans="1:28" x14ac:dyDescent="0.25">
      <c r="B13" s="1" t="s">
        <v>24</v>
      </c>
      <c r="C13" s="2">
        <v>25.195</v>
      </c>
      <c r="D13" s="2">
        <v>22.456</v>
      </c>
      <c r="E13" s="2">
        <v>28.378</v>
      </c>
      <c r="F13" s="2">
        <v>27.965</v>
      </c>
      <c r="G13" s="2">
        <v>33.152000000000001</v>
      </c>
      <c r="H13" s="2">
        <v>36.232999999999997</v>
      </c>
      <c r="I13" s="2">
        <v>30.908999999999999</v>
      </c>
      <c r="J13" s="2">
        <v>30.271000000000001</v>
      </c>
      <c r="K13" s="2">
        <v>36.017000000000003</v>
      </c>
      <c r="L13" s="2">
        <v>15.705</v>
      </c>
      <c r="M13" s="2">
        <v>24.88</v>
      </c>
      <c r="N13" s="2">
        <f t="shared" si="14"/>
        <v>24.122999999999998</v>
      </c>
      <c r="P13" s="2">
        <v>113.764</v>
      </c>
      <c r="Q13" s="2">
        <v>109.02</v>
      </c>
      <c r="R13" s="2">
        <v>130.565</v>
      </c>
      <c r="S13" s="2">
        <v>100.72499999999999</v>
      </c>
      <c r="T13" s="2">
        <f t="shared" ref="T13:Y13" si="17">+T8*0.12</f>
        <v>132.54574439999999</v>
      </c>
      <c r="U13" s="2">
        <f t="shared" si="17"/>
        <v>136.66694528400001</v>
      </c>
      <c r="V13" s="2">
        <f t="shared" si="17"/>
        <v>140.96914534884002</v>
      </c>
      <c r="W13" s="2">
        <f t="shared" si="17"/>
        <v>145.46114394492841</v>
      </c>
      <c r="X13" s="2">
        <f t="shared" si="17"/>
        <v>150.15217788410769</v>
      </c>
      <c r="Y13" s="2">
        <f t="shared" si="17"/>
        <v>155.0519432876653</v>
      </c>
    </row>
    <row r="14" spans="1:28" x14ac:dyDescent="0.25">
      <c r="B14" s="1" t="s">
        <v>25</v>
      </c>
      <c r="C14" s="2">
        <v>26.928999999999998</v>
      </c>
      <c r="D14" s="2">
        <v>27.151</v>
      </c>
      <c r="E14" s="2">
        <v>19.754999999999999</v>
      </c>
      <c r="F14" s="2">
        <v>15.878</v>
      </c>
      <c r="G14" s="2">
        <v>16.731000000000002</v>
      </c>
      <c r="H14" s="2">
        <v>16.966999999999999</v>
      </c>
      <c r="I14" s="2">
        <v>17.126999999999999</v>
      </c>
      <c r="J14" s="2">
        <v>17.202999999999999</v>
      </c>
      <c r="K14" s="2">
        <v>17.206</v>
      </c>
      <c r="L14" s="2">
        <v>17.024000000000001</v>
      </c>
      <c r="M14" s="2">
        <v>18.312000000000001</v>
      </c>
      <c r="N14" s="2">
        <f t="shared" si="14"/>
        <v>18.074000000000002</v>
      </c>
      <c r="P14" s="2">
        <v>68.028000000000006</v>
      </c>
      <c r="Q14" s="2">
        <v>89.712999999999994</v>
      </c>
      <c r="R14" s="2">
        <v>107.056</v>
      </c>
      <c r="S14" s="2">
        <v>70.616</v>
      </c>
      <c r="T14" s="2">
        <f t="shared" ref="T14:Y14" si="18">+S14*1.04</f>
        <v>73.440640000000002</v>
      </c>
      <c r="U14" s="2">
        <f t="shared" si="18"/>
        <v>76.378265600000006</v>
      </c>
      <c r="V14" s="2">
        <f t="shared" si="18"/>
        <v>79.433396224000006</v>
      </c>
      <c r="W14" s="2">
        <f t="shared" si="18"/>
        <v>82.610732072960005</v>
      </c>
      <c r="X14" s="2">
        <f t="shared" si="18"/>
        <v>85.915161355878411</v>
      </c>
      <c r="Y14" s="2">
        <f t="shared" si="18"/>
        <v>89.351767810113543</v>
      </c>
    </row>
    <row r="15" spans="1:28" x14ac:dyDescent="0.25">
      <c r="B15" s="1" t="s">
        <v>26</v>
      </c>
      <c r="C15" s="2">
        <f t="shared" ref="C15:K15" si="19">+SUM(C11:C14)</f>
        <v>135.399</v>
      </c>
      <c r="D15" s="2">
        <f t="shared" si="19"/>
        <v>160.465</v>
      </c>
      <c r="E15" s="2">
        <f t="shared" si="19"/>
        <v>139.714</v>
      </c>
      <c r="F15" s="2">
        <f t="shared" si="19"/>
        <v>321.27899999999994</v>
      </c>
      <c r="G15" s="2">
        <f t="shared" si="19"/>
        <v>163.304</v>
      </c>
      <c r="H15" s="2">
        <f t="shared" si="19"/>
        <v>161.827</v>
      </c>
      <c r="I15" s="2">
        <f t="shared" si="19"/>
        <v>165.46100000000001</v>
      </c>
      <c r="J15" s="2">
        <f t="shared" si="19"/>
        <v>200.03</v>
      </c>
      <c r="K15" s="2">
        <f t="shared" si="19"/>
        <v>137.696</v>
      </c>
      <c r="L15" s="2">
        <f>+SUM(L11:L14)</f>
        <v>136.62</v>
      </c>
      <c r="M15" s="2">
        <f>+SUM(M11:M14)</f>
        <v>139.99199999999999</v>
      </c>
      <c r="N15" s="2">
        <f t="shared" ref="N15" si="20">+SUM(N11:N14)</f>
        <v>146.72600000000003</v>
      </c>
      <c r="P15" s="2">
        <f t="shared" ref="P15:R15" si="21">+SUM(P11:P14)</f>
        <v>650.99199999999996</v>
      </c>
      <c r="Q15" s="2">
        <f t="shared" si="21"/>
        <v>756.85699999999997</v>
      </c>
      <c r="R15" s="2">
        <f t="shared" si="21"/>
        <v>729.65000000000009</v>
      </c>
      <c r="S15" s="2">
        <f t="shared" ref="S15:Y15" si="22">+SUM(S11:S14)</f>
        <v>561.03399999999999</v>
      </c>
      <c r="T15" s="2">
        <f t="shared" si="22"/>
        <v>592.40902449999999</v>
      </c>
      <c r="U15" s="2">
        <f t="shared" si="22"/>
        <v>599.94920613800002</v>
      </c>
      <c r="V15" s="2">
        <f t="shared" si="22"/>
        <v>619.28434147938003</v>
      </c>
      <c r="W15" s="2">
        <f t="shared" si="22"/>
        <v>639.40215768693383</v>
      </c>
      <c r="X15" s="2">
        <f t="shared" si="22"/>
        <v>660.33739533062726</v>
      </c>
      <c r="Y15" s="2">
        <f t="shared" si="22"/>
        <v>682.12640232736874</v>
      </c>
    </row>
    <row r="16" spans="1:28" x14ac:dyDescent="0.25">
      <c r="B16" s="5" t="s">
        <v>27</v>
      </c>
      <c r="C16" s="6">
        <f t="shared" ref="C16:K16" si="23">+C10-C15</f>
        <v>19.018999999999977</v>
      </c>
      <c r="D16" s="6">
        <f t="shared" si="23"/>
        <v>-2.7680000000000007</v>
      </c>
      <c r="E16" s="6">
        <f t="shared" si="23"/>
        <v>28.343999999999994</v>
      </c>
      <c r="F16" s="6">
        <f t="shared" si="23"/>
        <v>-149.85599999999994</v>
      </c>
      <c r="G16" s="6">
        <f t="shared" si="23"/>
        <v>9.063999999999993</v>
      </c>
      <c r="H16" s="6">
        <f t="shared" si="23"/>
        <v>21.171000000000021</v>
      </c>
      <c r="I16" s="6">
        <f t="shared" si="23"/>
        <v>29.999999999999972</v>
      </c>
      <c r="J16" s="6">
        <f t="shared" si="23"/>
        <v>-6.8619999999999379</v>
      </c>
      <c r="K16" s="6">
        <f t="shared" si="23"/>
        <v>48.789999999999992</v>
      </c>
      <c r="L16" s="6">
        <f>+L10-L15</f>
        <v>51.954000000000008</v>
      </c>
      <c r="M16" s="6">
        <f t="shared" ref="M16" si="24">+M10-M15</f>
        <v>53.790999999999968</v>
      </c>
      <c r="N16" s="6">
        <f t="shared" ref="N16" si="25">+N10-N15</f>
        <v>37.020999999999987</v>
      </c>
      <c r="P16" s="6">
        <f t="shared" ref="P16:R16" si="26">+P10-P15</f>
        <v>-95.654999999999859</v>
      </c>
      <c r="Q16" s="6">
        <f t="shared" si="26"/>
        <v>-102.84400000000005</v>
      </c>
      <c r="R16" s="6">
        <f t="shared" si="26"/>
        <v>14.3449999999998</v>
      </c>
      <c r="S16" s="6">
        <f t="shared" ref="S16:Y16" si="27">+S10-S15</f>
        <v>191.774</v>
      </c>
      <c r="T16" s="6">
        <f t="shared" si="27"/>
        <v>180.77448449999997</v>
      </c>
      <c r="U16" s="6">
        <f t="shared" si="27"/>
        <v>197.274641352</v>
      </c>
      <c r="V16" s="6">
        <f t="shared" si="27"/>
        <v>203.03567305552008</v>
      </c>
      <c r="W16" s="6">
        <f t="shared" si="27"/>
        <v>209.12118199181532</v>
      </c>
      <c r="X16" s="6">
        <f t="shared" si="27"/>
        <v>215.55030899333428</v>
      </c>
      <c r="Y16" s="6">
        <f t="shared" si="27"/>
        <v>222.34326685067879</v>
      </c>
    </row>
    <row r="17" spans="2:49" x14ac:dyDescent="0.25">
      <c r="B17" s="1" t="s">
        <v>29</v>
      </c>
      <c r="C17" s="2">
        <v>-5.883</v>
      </c>
      <c r="D17" s="2">
        <v>-6.2809999999999997</v>
      </c>
      <c r="E17" s="2">
        <v>-6.8659999999999997</v>
      </c>
      <c r="F17" s="2">
        <v>-5.617</v>
      </c>
      <c r="G17" s="2">
        <v>-5.2190000000000003</v>
      </c>
      <c r="H17" s="2">
        <v>-6.11</v>
      </c>
      <c r="I17" s="2">
        <v>-5.2560000000000002</v>
      </c>
      <c r="J17" s="2">
        <v>-4.9489999999999998</v>
      </c>
      <c r="K17" s="2">
        <v>-8.9179999999999993</v>
      </c>
      <c r="L17" s="2">
        <v>-9.0820000000000007</v>
      </c>
      <c r="M17" s="2">
        <v>-9.8089999999999993</v>
      </c>
      <c r="N17" s="2">
        <f t="shared" ref="N17:N18" si="28">+S17-M17-L17-K17</f>
        <v>-12.136000000000003</v>
      </c>
      <c r="P17" s="2">
        <v>-24.574000000000002</v>
      </c>
      <c r="Q17" s="2">
        <v>-24.062999999999999</v>
      </c>
      <c r="R17" s="2">
        <v>-21.533999999999999</v>
      </c>
      <c r="S17" s="2">
        <v>-39.945</v>
      </c>
      <c r="T17" s="2">
        <f t="shared" ref="T17:Y17" si="29">+S17*0.97</f>
        <v>-38.746650000000002</v>
      </c>
      <c r="U17" s="2">
        <f t="shared" si="29"/>
        <v>-37.584250500000003</v>
      </c>
      <c r="V17" s="2">
        <f t="shared" si="29"/>
        <v>-36.456722984999999</v>
      </c>
      <c r="W17" s="2">
        <f t="shared" si="29"/>
        <v>-35.363021295449997</v>
      </c>
      <c r="X17" s="2">
        <f t="shared" si="29"/>
        <v>-34.302130656586499</v>
      </c>
      <c r="Y17" s="2">
        <f t="shared" si="29"/>
        <v>-33.2730667368889</v>
      </c>
    </row>
    <row r="18" spans="2:49" x14ac:dyDescent="0.25">
      <c r="B18" s="1" t="s">
        <v>30</v>
      </c>
      <c r="C18" s="2">
        <v>13.23</v>
      </c>
      <c r="D18" s="2">
        <v>4.9539999999999997</v>
      </c>
      <c r="E18" s="2">
        <v>6.5449999999999999</v>
      </c>
      <c r="F18" s="2">
        <v>-8.5399999999999991</v>
      </c>
      <c r="G18" s="2">
        <v>-3.5609999999999999</v>
      </c>
      <c r="H18" s="2">
        <v>-2.9689999999999999</v>
      </c>
      <c r="I18" s="2">
        <v>0.252</v>
      </c>
      <c r="J18" s="2">
        <v>-20.259</v>
      </c>
      <c r="K18" s="2">
        <v>1.4750000000000001</v>
      </c>
      <c r="L18" s="2">
        <v>-0.55800000000000005</v>
      </c>
      <c r="M18" s="2">
        <v>2.8980000000000001</v>
      </c>
      <c r="N18" s="2">
        <f t="shared" si="28"/>
        <v>-8.6419999999999995</v>
      </c>
      <c r="P18" s="2">
        <v>3.16</v>
      </c>
      <c r="Q18" s="2">
        <v>16.189</v>
      </c>
      <c r="R18" s="2">
        <v>-26.536999999999999</v>
      </c>
      <c r="S18" s="2">
        <v>-4.827</v>
      </c>
      <c r="T18" s="2"/>
      <c r="U18" s="2"/>
      <c r="V18" s="2"/>
      <c r="W18" s="2"/>
      <c r="X18" s="2"/>
      <c r="Y18" s="2"/>
    </row>
    <row r="19" spans="2:49" x14ac:dyDescent="0.25">
      <c r="B19" s="1" t="s">
        <v>31</v>
      </c>
      <c r="C19" s="2">
        <f t="shared" ref="C19:K19" si="30">+C16+C17+C18</f>
        <v>26.365999999999978</v>
      </c>
      <c r="D19" s="2">
        <f t="shared" si="30"/>
        <v>-4.0949999999999998</v>
      </c>
      <c r="E19" s="2">
        <f t="shared" si="30"/>
        <v>28.022999999999996</v>
      </c>
      <c r="F19" s="2">
        <f t="shared" si="30"/>
        <v>-164.01299999999992</v>
      </c>
      <c r="G19" s="2">
        <f t="shared" si="30"/>
        <v>0.2839999999999927</v>
      </c>
      <c r="H19" s="2">
        <f t="shared" si="30"/>
        <v>12.092000000000022</v>
      </c>
      <c r="I19" s="2">
        <f t="shared" si="30"/>
        <v>24.99599999999997</v>
      </c>
      <c r="J19" s="2">
        <f t="shared" si="30"/>
        <v>-32.069999999999936</v>
      </c>
      <c r="K19" s="2">
        <f t="shared" si="30"/>
        <v>41.346999999999994</v>
      </c>
      <c r="L19" s="2">
        <f>+L16+L17+L18</f>
        <v>42.314000000000007</v>
      </c>
      <c r="M19" s="2">
        <f t="shared" ref="M19:N19" si="31">+M16+M17+M18</f>
        <v>46.879999999999974</v>
      </c>
      <c r="N19" s="2">
        <f t="shared" si="31"/>
        <v>16.242999999999984</v>
      </c>
      <c r="P19" s="2">
        <f t="shared" ref="P19:Y19" si="32">+P16+P17+P18</f>
        <v>-117.06899999999986</v>
      </c>
      <c r="Q19" s="2">
        <f t="shared" si="32"/>
        <v>-110.71800000000005</v>
      </c>
      <c r="R19" s="2">
        <f t="shared" si="32"/>
        <v>-33.726000000000198</v>
      </c>
      <c r="S19" s="2">
        <f t="shared" si="32"/>
        <v>147.00200000000001</v>
      </c>
      <c r="T19" s="2">
        <f t="shared" si="32"/>
        <v>142.02783449999998</v>
      </c>
      <c r="U19" s="2">
        <f t="shared" si="32"/>
        <v>159.69039085200001</v>
      </c>
      <c r="V19" s="2">
        <f t="shared" si="32"/>
        <v>166.57895007052008</v>
      </c>
      <c r="W19" s="2">
        <f t="shared" si="32"/>
        <v>173.75816069636534</v>
      </c>
      <c r="X19" s="2">
        <f t="shared" si="32"/>
        <v>181.2481783367478</v>
      </c>
      <c r="Y19" s="2">
        <f t="shared" si="32"/>
        <v>189.07020011378989</v>
      </c>
    </row>
    <row r="20" spans="2:49" x14ac:dyDescent="0.25">
      <c r="B20" s="1" t="s">
        <v>32</v>
      </c>
      <c r="C20" s="2">
        <v>2.4279999999999999</v>
      </c>
      <c r="D20" s="2">
        <v>2.3279999999999998</v>
      </c>
      <c r="E20" s="2">
        <v>1.6180000000000001</v>
      </c>
      <c r="F20" s="2">
        <v>2.35</v>
      </c>
      <c r="G20" s="2">
        <v>2.613</v>
      </c>
      <c r="H20" s="2">
        <v>2.7429999999999999</v>
      </c>
      <c r="I20" s="2">
        <v>1.8720000000000001</v>
      </c>
      <c r="J20" s="2">
        <v>5.8000000000000003E-2</v>
      </c>
      <c r="K20" s="2">
        <v>7.4740000000000002</v>
      </c>
      <c r="L20" s="2">
        <v>4.6280000000000001</v>
      </c>
      <c r="M20" s="2">
        <v>4.1609999999999996</v>
      </c>
      <c r="N20" s="2">
        <f>+S20-M20-L20-K20</f>
        <v>6.8649999999999984</v>
      </c>
      <c r="P20" s="2">
        <v>-437.83699999999999</v>
      </c>
      <c r="Q20" s="2">
        <v>3.4060000000000001</v>
      </c>
      <c r="R20" s="2">
        <v>7.17</v>
      </c>
      <c r="S20" s="2">
        <v>23.128</v>
      </c>
      <c r="T20" s="2">
        <f t="shared" ref="T20:Y20" si="33">+T19*0.15</f>
        <v>21.304175174999997</v>
      </c>
      <c r="U20" s="2">
        <f t="shared" si="33"/>
        <v>23.9535586278</v>
      </c>
      <c r="V20" s="2">
        <f t="shared" si="33"/>
        <v>24.986842510578011</v>
      </c>
      <c r="W20" s="2">
        <f t="shared" si="33"/>
        <v>26.063724104454799</v>
      </c>
      <c r="X20" s="2">
        <f t="shared" si="33"/>
        <v>27.187226750512171</v>
      </c>
      <c r="Y20" s="2">
        <f t="shared" si="33"/>
        <v>28.360530017068484</v>
      </c>
    </row>
    <row r="21" spans="2:49" x14ac:dyDescent="0.25">
      <c r="B21" s="1" t="s">
        <v>33</v>
      </c>
      <c r="C21" s="2">
        <f t="shared" ref="C21:K21" si="34">+C19-C20</f>
        <v>23.937999999999978</v>
      </c>
      <c r="D21" s="2">
        <f t="shared" si="34"/>
        <v>-6.423</v>
      </c>
      <c r="E21" s="2">
        <f t="shared" si="34"/>
        <v>26.404999999999998</v>
      </c>
      <c r="F21" s="2">
        <f t="shared" si="34"/>
        <v>-166.36299999999991</v>
      </c>
      <c r="G21" s="2">
        <f t="shared" si="34"/>
        <v>-2.3290000000000073</v>
      </c>
      <c r="H21" s="2">
        <f t="shared" si="34"/>
        <v>9.3490000000000215</v>
      </c>
      <c r="I21" s="2">
        <f t="shared" si="34"/>
        <v>23.12399999999997</v>
      </c>
      <c r="J21" s="2">
        <f t="shared" si="34"/>
        <v>-32.127999999999936</v>
      </c>
      <c r="K21" s="2">
        <f t="shared" si="34"/>
        <v>33.87299999999999</v>
      </c>
      <c r="L21" s="2">
        <f>+L19-L20</f>
        <v>37.686000000000007</v>
      </c>
      <c r="M21" s="2">
        <f t="shared" ref="M21:N21" si="35">+M19-M20</f>
        <v>42.718999999999973</v>
      </c>
      <c r="N21" s="2">
        <f t="shared" si="35"/>
        <v>9.3779999999999859</v>
      </c>
      <c r="P21" s="2">
        <f t="shared" ref="P21:Y21" si="36">+P19-P20</f>
        <v>320.76800000000014</v>
      </c>
      <c r="Q21" s="2">
        <f t="shared" si="36"/>
        <v>-114.12400000000005</v>
      </c>
      <c r="R21" s="2">
        <f t="shared" si="36"/>
        <v>-40.8960000000002</v>
      </c>
      <c r="S21" s="2">
        <f t="shared" si="36"/>
        <v>123.87400000000001</v>
      </c>
      <c r="T21" s="2">
        <f t="shared" si="36"/>
        <v>120.72365932499999</v>
      </c>
      <c r="U21" s="2">
        <f t="shared" si="36"/>
        <v>135.73683222420001</v>
      </c>
      <c r="V21" s="2">
        <f t="shared" si="36"/>
        <v>141.59210755994206</v>
      </c>
      <c r="W21" s="2">
        <f t="shared" si="36"/>
        <v>147.69443659191055</v>
      </c>
      <c r="X21" s="2">
        <f t="shared" si="36"/>
        <v>154.06095158623563</v>
      </c>
      <c r="Y21" s="2">
        <f t="shared" si="36"/>
        <v>160.70967009672142</v>
      </c>
      <c r="Z21" s="2">
        <f>+Y21*(1+$AB$3)</f>
        <v>160.70967009672142</v>
      </c>
      <c r="AA21" s="2">
        <f t="shared" ref="AA21:AW21" si="37">+Z21*(1+$AB$3)</f>
        <v>160.70967009672142</v>
      </c>
      <c r="AB21" s="2">
        <f t="shared" si="37"/>
        <v>160.70967009672142</v>
      </c>
      <c r="AC21" s="2">
        <f t="shared" si="37"/>
        <v>160.70967009672142</v>
      </c>
      <c r="AD21" s="2">
        <f t="shared" si="37"/>
        <v>160.70967009672142</v>
      </c>
      <c r="AE21" s="2">
        <f t="shared" si="37"/>
        <v>160.70967009672142</v>
      </c>
      <c r="AF21" s="2">
        <f t="shared" si="37"/>
        <v>160.70967009672142</v>
      </c>
      <c r="AG21" s="2">
        <f t="shared" si="37"/>
        <v>160.70967009672142</v>
      </c>
      <c r="AH21" s="2">
        <f t="shared" si="37"/>
        <v>160.70967009672142</v>
      </c>
      <c r="AI21" s="2">
        <f t="shared" si="37"/>
        <v>160.70967009672142</v>
      </c>
      <c r="AJ21" s="2">
        <f t="shared" si="37"/>
        <v>160.70967009672142</v>
      </c>
      <c r="AK21" s="2">
        <f t="shared" si="37"/>
        <v>160.70967009672142</v>
      </c>
      <c r="AL21" s="2">
        <f t="shared" si="37"/>
        <v>160.70967009672142</v>
      </c>
      <c r="AM21" s="2">
        <f t="shared" si="37"/>
        <v>160.70967009672142</v>
      </c>
      <c r="AN21" s="2">
        <f t="shared" si="37"/>
        <v>160.70967009672142</v>
      </c>
      <c r="AO21" s="2">
        <f t="shared" si="37"/>
        <v>160.70967009672142</v>
      </c>
      <c r="AP21" s="2">
        <f t="shared" si="37"/>
        <v>160.70967009672142</v>
      </c>
      <c r="AQ21" s="2">
        <f t="shared" si="37"/>
        <v>160.70967009672142</v>
      </c>
      <c r="AR21" s="2">
        <f t="shared" si="37"/>
        <v>160.70967009672142</v>
      </c>
      <c r="AS21" s="2">
        <f t="shared" si="37"/>
        <v>160.70967009672142</v>
      </c>
      <c r="AT21" s="2">
        <f t="shared" si="37"/>
        <v>160.70967009672142</v>
      </c>
      <c r="AU21" s="2">
        <f t="shared" si="37"/>
        <v>160.70967009672142</v>
      </c>
      <c r="AV21" s="2">
        <f t="shared" si="37"/>
        <v>160.70967009672142</v>
      </c>
      <c r="AW21" s="2">
        <f t="shared" si="37"/>
        <v>160.70967009672142</v>
      </c>
    </row>
    <row r="22" spans="2:49" x14ac:dyDescent="0.25">
      <c r="B22" s="1" t="s">
        <v>34</v>
      </c>
      <c r="C22" s="2"/>
      <c r="D22" s="2">
        <v>129.398</v>
      </c>
      <c r="E22" s="2">
        <v>129.464</v>
      </c>
      <c r="F22" s="2"/>
      <c r="G22" s="2">
        <v>131.92400000000001</v>
      </c>
      <c r="H22" s="2">
        <v>137.12299999999999</v>
      </c>
      <c r="I22" s="2"/>
      <c r="J22" s="2"/>
      <c r="K22" s="2">
        <v>128.733</v>
      </c>
      <c r="L22" s="2">
        <v>126.247</v>
      </c>
      <c r="M22" s="2"/>
      <c r="N22" s="2"/>
      <c r="P22" s="2">
        <v>121.425</v>
      </c>
      <c r="Q22" s="2">
        <v>129.42099999999999</v>
      </c>
      <c r="R22" s="2">
        <v>134.93600000000001</v>
      </c>
      <c r="S22" s="2"/>
      <c r="T22" s="2"/>
      <c r="U22" s="2"/>
      <c r="V22" s="2"/>
      <c r="W22" s="2"/>
      <c r="X22" s="2"/>
      <c r="Y22" s="2"/>
    </row>
    <row r="23" spans="2:49" x14ac:dyDescent="0.25">
      <c r="B23" s="1" t="s">
        <v>35</v>
      </c>
      <c r="C23" s="9" t="e">
        <f t="shared" ref="C23:K23" si="38">+C21/C22</f>
        <v>#DIV/0!</v>
      </c>
      <c r="D23" s="9">
        <f t="shared" si="38"/>
        <v>-4.9637552357841702E-2</v>
      </c>
      <c r="E23" s="9">
        <f t="shared" si="38"/>
        <v>0.20395631217944754</v>
      </c>
      <c r="F23" s="9" t="e">
        <f t="shared" si="38"/>
        <v>#DIV/0!</v>
      </c>
      <c r="G23" s="9">
        <f t="shared" si="38"/>
        <v>-1.7654103877990414E-2</v>
      </c>
      <c r="H23" s="9">
        <f t="shared" si="38"/>
        <v>6.8179663513779756E-2</v>
      </c>
      <c r="I23" s="9" t="e">
        <f t="shared" si="38"/>
        <v>#DIV/0!</v>
      </c>
      <c r="J23" s="9" t="e">
        <f t="shared" si="38"/>
        <v>#DIV/0!</v>
      </c>
      <c r="K23" s="9">
        <f t="shared" si="38"/>
        <v>0.26312600498706618</v>
      </c>
      <c r="L23" s="9">
        <f>+L21/L22</f>
        <v>0.29851006360547189</v>
      </c>
      <c r="M23" s="9" t="e">
        <f t="shared" ref="M23:N23" si="39">+M21/M22</f>
        <v>#DIV/0!</v>
      </c>
      <c r="N23" s="9" t="e">
        <f t="shared" si="39"/>
        <v>#DIV/0!</v>
      </c>
      <c r="P23" s="9">
        <f>+P21/P22</f>
        <v>2.641696520485898</v>
      </c>
      <c r="Q23" s="9">
        <f t="shared" ref="Q23:R23" si="40">+Q21/Q22</f>
        <v>-0.88180434396272678</v>
      </c>
      <c r="R23" s="9">
        <f t="shared" si="40"/>
        <v>-0.30307701428825662</v>
      </c>
    </row>
    <row r="24" spans="2:4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49" x14ac:dyDescent="0.25">
      <c r="B25" s="1" t="s">
        <v>52</v>
      </c>
      <c r="C25" s="2"/>
      <c r="D25" s="2"/>
      <c r="E25" s="2"/>
      <c r="F25" s="2"/>
      <c r="G25" s="8">
        <f t="shared" ref="G25:G26" si="41">+G5/C5-1</f>
        <v>0.25001286835671088</v>
      </c>
      <c r="H25" s="8">
        <f t="shared" ref="H25:H26" si="42">+H5/D5-1</f>
        <v>0.22622164048865612</v>
      </c>
      <c r="I25" s="8">
        <f t="shared" ref="I25:K26" si="43">+I5/E5-1</f>
        <v>0.22776667533948558</v>
      </c>
      <c r="J25" s="8">
        <f t="shared" ref="J25:J26" si="44">+J5/F5-1</f>
        <v>0.17001484151383472</v>
      </c>
      <c r="K25" s="8">
        <f t="shared" si="43"/>
        <v>0.1105637826402508</v>
      </c>
      <c r="L25" s="8">
        <f>+L5/H5-1</f>
        <v>4.8115897430965893E-2</v>
      </c>
      <c r="M25" s="8">
        <f t="shared" ref="M25:M26" si="45">+M5/I5-1</f>
        <v>-7.2006673129382248E-3</v>
      </c>
      <c r="N25" s="8">
        <f t="shared" ref="N25:N26" si="46">+N5/J5-1</f>
        <v>-3.7760210206809086E-2</v>
      </c>
      <c r="Q25" s="8">
        <f t="shared" ref="Q25" si="47">+Q5/P5-1</f>
        <v>0.31356167882175989</v>
      </c>
      <c r="R25" s="8">
        <f>+R5/Q5-1</f>
        <v>0.21667682035461588</v>
      </c>
      <c r="S25" s="8">
        <f t="shared" ref="S25:S26" si="48">+S5/R5-1</f>
        <v>2.5515700057056723E-2</v>
      </c>
    </row>
    <row r="26" spans="2:49" x14ac:dyDescent="0.25">
      <c r="B26" s="1" t="s">
        <v>53</v>
      </c>
      <c r="C26" s="2"/>
      <c r="D26" s="2"/>
      <c r="E26" s="2"/>
      <c r="F26" s="2"/>
      <c r="G26" s="8">
        <f t="shared" si="41"/>
        <v>-0.1274314706251457</v>
      </c>
      <c r="H26" s="8">
        <f t="shared" si="42"/>
        <v>1.793651418007336E-2</v>
      </c>
      <c r="I26" s="8">
        <f t="shared" si="43"/>
        <v>3.3212815877533775E-2</v>
      </c>
      <c r="J26" s="8">
        <f t="shared" si="44"/>
        <v>4.650748748788347E-2</v>
      </c>
      <c r="K26" s="8">
        <f t="shared" si="43"/>
        <v>6.8767849438063688E-2</v>
      </c>
      <c r="L26" s="8">
        <f t="shared" ref="L26" si="49">+L6/H6-1</f>
        <v>-2.1774411685150152E-2</v>
      </c>
      <c r="M26" s="8">
        <f t="shared" si="45"/>
        <v>-1.0758492322010316E-2</v>
      </c>
      <c r="N26" s="8">
        <f t="shared" si="46"/>
        <v>-6.8088163018411696E-2</v>
      </c>
      <c r="Q26" s="8">
        <f t="shared" ref="Q26:R26" si="50">+Q6/P6-1</f>
        <v>-9.9649198321317023E-2</v>
      </c>
      <c r="R26" s="8">
        <f t="shared" si="50"/>
        <v>-1.0125541415280992E-2</v>
      </c>
      <c r="S26" s="8">
        <f t="shared" si="48"/>
        <v>-9.4660381732478704E-3</v>
      </c>
    </row>
    <row r="27" spans="2:49" x14ac:dyDescent="0.25">
      <c r="B27" s="1" t="s">
        <v>36</v>
      </c>
      <c r="G27" s="8">
        <f t="shared" ref="G27" si="51">+G8/C8-1</f>
        <v>0.15032741632299396</v>
      </c>
      <c r="H27" s="8">
        <f t="shared" ref="H27" si="52">+H8/D8-1</f>
        <v>0.17818229653351714</v>
      </c>
      <c r="I27" s="8">
        <f t="shared" ref="I27:K27" si="53">+I8/E8-1</f>
        <v>0.18428122541792225</v>
      </c>
      <c r="J27" s="8">
        <f t="shared" ref="J27" si="54">+J8/F8-1</f>
        <v>0.14391478652737577</v>
      </c>
      <c r="K27" s="8">
        <f t="shared" si="53"/>
        <v>0.10219059222549687</v>
      </c>
      <c r="L27" s="8">
        <f>+L8/H8-1</f>
        <v>3.4188692321019509E-2</v>
      </c>
      <c r="M27" s="8">
        <f t="shared" ref="M27" si="55">+M8/I8-1</f>
        <v>-7.8944502921854953E-3</v>
      </c>
      <c r="N27" s="8">
        <f t="shared" ref="N27" si="56">+N8/J8-1</f>
        <v>-4.3623486589898564E-2</v>
      </c>
      <c r="Q27" s="8">
        <f t="shared" ref="Q27" si="57">+Q8/P8-1</f>
        <v>0.18739798399285035</v>
      </c>
      <c r="R27" s="8">
        <f>+R8/Q8-1</f>
        <v>0.16416879634046588</v>
      </c>
      <c r="S27" s="8">
        <f t="shared" ref="S27:Y27" si="58">+S8/R8-1</f>
        <v>1.8836694142589705E-2</v>
      </c>
      <c r="T27" s="8">
        <f t="shared" si="58"/>
        <v>3.070506689261232E-2</v>
      </c>
      <c r="U27" s="8">
        <f t="shared" si="58"/>
        <v>3.109266844179448E-2</v>
      </c>
      <c r="V27" s="8">
        <f t="shared" si="58"/>
        <v>3.1479448493560991E-2</v>
      </c>
      <c r="W27" s="8">
        <f t="shared" si="58"/>
        <v>3.1865119029930833E-2</v>
      </c>
      <c r="X27" s="8">
        <f t="shared" si="58"/>
        <v>3.2249395350247623E-2</v>
      </c>
      <c r="Y27" s="8">
        <f t="shared" si="58"/>
        <v>3.2631996902098725E-2</v>
      </c>
    </row>
    <row r="29" spans="2:49" x14ac:dyDescent="0.25">
      <c r="B29" s="1" t="s">
        <v>62</v>
      </c>
      <c r="Q29" s="8">
        <f t="shared" ref="Q29" si="59">+Q2/P2-1</f>
        <v>0.24384886764538516</v>
      </c>
      <c r="R29" s="8">
        <f>+R2/Q2-1</f>
        <v>9.3433488567847167E-2</v>
      </c>
      <c r="S29" s="8">
        <f t="shared" ref="S29:Y29" si="60">+S2/R2-1</f>
        <v>-0.13490699445230059</v>
      </c>
      <c r="T29" s="8">
        <f t="shared" si="60"/>
        <v>1.0000000000000009E-2</v>
      </c>
      <c r="U29" s="8">
        <f t="shared" si="60"/>
        <v>1.0000000000000009E-2</v>
      </c>
      <c r="V29" s="8">
        <f t="shared" si="60"/>
        <v>1.0000000000000009E-2</v>
      </c>
      <c r="W29" s="8">
        <f t="shared" si="60"/>
        <v>1.0000000000000009E-2</v>
      </c>
      <c r="X29" s="8">
        <f t="shared" si="60"/>
        <v>1.0000000000000009E-2</v>
      </c>
      <c r="Y29" s="8">
        <f t="shared" si="60"/>
        <v>1.0000000000000009E-2</v>
      </c>
    </row>
    <row r="30" spans="2:49" x14ac:dyDescent="0.25">
      <c r="B30" s="1" t="s">
        <v>63</v>
      </c>
      <c r="Q30" s="8">
        <f t="shared" ref="Q30:R30" si="61">+Q3/P3-1</f>
        <v>0.11026869013558893</v>
      </c>
      <c r="R30" s="8">
        <f t="shared" si="61"/>
        <v>0.27244284601896851</v>
      </c>
      <c r="S30" s="8">
        <f t="shared" ref="S30:Y30" si="62">+S3/R3-1</f>
        <v>0.22106386959727931</v>
      </c>
      <c r="T30" s="8">
        <f t="shared" si="62"/>
        <v>5.0000000000000044E-2</v>
      </c>
      <c r="U30" s="8">
        <f t="shared" si="62"/>
        <v>5.0000000000000044E-2</v>
      </c>
      <c r="V30" s="8">
        <f t="shared" si="62"/>
        <v>5.0000000000000044E-2</v>
      </c>
      <c r="W30" s="8">
        <f t="shared" si="62"/>
        <v>5.0000000000000044E-2</v>
      </c>
      <c r="X30" s="8">
        <f t="shared" si="62"/>
        <v>5.0000000000000044E-2</v>
      </c>
      <c r="Y30" s="8">
        <f t="shared" si="62"/>
        <v>5.0000000000000044E-2</v>
      </c>
    </row>
    <row r="31" spans="2:49" x14ac:dyDescent="0.25">
      <c r="B31" s="1" t="s">
        <v>59</v>
      </c>
      <c r="Q31" s="8">
        <f t="shared" ref="Q31" si="63">+Q11/P11-1</f>
        <v>0.17740221339467488</v>
      </c>
      <c r="R31" s="8">
        <f>+R11/Q11-1</f>
        <v>8.4691638350536946E-2</v>
      </c>
      <c r="S31" s="8">
        <f t="shared" ref="S31:Y31" si="64">+S11/R11-1</f>
        <v>-3.4055773356017394E-2</v>
      </c>
      <c r="T31" s="8">
        <f t="shared" si="64"/>
        <v>-2.7284662597828357E-2</v>
      </c>
      <c r="U31" s="8">
        <f t="shared" si="64"/>
        <v>-1.373744757741413E-2</v>
      </c>
      <c r="V31" s="8">
        <f t="shared" si="64"/>
        <v>3.1479448493561213E-2</v>
      </c>
      <c r="W31" s="8">
        <f t="shared" si="64"/>
        <v>3.1865119029930833E-2</v>
      </c>
      <c r="X31" s="8">
        <f t="shared" si="64"/>
        <v>3.2249395350247623E-2</v>
      </c>
      <c r="Y31" s="8">
        <f t="shared" si="64"/>
        <v>3.2631996902098725E-2</v>
      </c>
    </row>
    <row r="32" spans="2:49" x14ac:dyDescent="0.25">
      <c r="B32" s="1" t="s">
        <v>60</v>
      </c>
      <c r="Q32" s="8">
        <f t="shared" ref="Q32:R32" si="65">+Q12/P12-1</f>
        <v>0.19948813347366312</v>
      </c>
      <c r="R32" s="8">
        <f t="shared" si="65"/>
        <v>-0.28235256026290656</v>
      </c>
    </row>
    <row r="33" spans="2:25" x14ac:dyDescent="0.25">
      <c r="B33" s="1" t="s">
        <v>61</v>
      </c>
      <c r="Q33" s="8">
        <f t="shared" ref="Q33:R33" si="66">+Q13/P13-1</f>
        <v>-4.1700362153229475E-2</v>
      </c>
      <c r="R33" s="8">
        <f t="shared" si="66"/>
        <v>0.19762428912126229</v>
      </c>
    </row>
    <row r="35" spans="2:25" x14ac:dyDescent="0.25">
      <c r="B35" s="1" t="s">
        <v>37</v>
      </c>
      <c r="C35" s="8">
        <f t="shared" ref="C35:D35" si="67">+C10/C8</f>
        <v>0.73114929521446592</v>
      </c>
      <c r="D35" s="8">
        <f t="shared" si="67"/>
        <v>0.71532836782276576</v>
      </c>
      <c r="E35" s="8">
        <f>+E10/E8</f>
        <v>0.72239822213816263</v>
      </c>
      <c r="G35" s="8">
        <f>+G10/G8</f>
        <v>0.7094851573176153</v>
      </c>
      <c r="H35" s="8">
        <f>+H10/H8</f>
        <v>0.70455656727048721</v>
      </c>
      <c r="I35" s="8">
        <f t="shared" ref="I35:J35" si="68">+I10/I8</f>
        <v>0.70945156255671293</v>
      </c>
      <c r="J35" s="8">
        <f t="shared" si="68"/>
        <v>0.70592792641346025</v>
      </c>
      <c r="K35" s="8">
        <f>+K10/K8</f>
        <v>0.69642797124451505</v>
      </c>
      <c r="L35" s="8">
        <f>+L10/L8</f>
        <v>0.70202334195782068</v>
      </c>
      <c r="M35" s="8">
        <f t="shared" ref="M35" si="69">+M10/M8</f>
        <v>0.70895787220809614</v>
      </c>
      <c r="P35" s="8">
        <f>+P10/P8</f>
        <v>0.72983270031935454</v>
      </c>
      <c r="Q35" s="8">
        <f t="shared" ref="Q35:R35" si="70">+Q10/Q8</f>
        <v>0.72386367283783226</v>
      </c>
      <c r="R35" s="8">
        <f t="shared" si="70"/>
        <v>0.70733388475323955</v>
      </c>
      <c r="S35" s="8">
        <f t="shared" ref="S35" si="71">+S10/S8</f>
        <v>0.70248021029391317</v>
      </c>
    </row>
    <row r="36" spans="2:25" x14ac:dyDescent="0.25">
      <c r="B36" s="1" t="s">
        <v>38</v>
      </c>
      <c r="C36" s="8">
        <f t="shared" ref="C36:D36" si="72">+C16/C8</f>
        <v>9.0052509718322432E-2</v>
      </c>
      <c r="D36" s="8">
        <f t="shared" si="72"/>
        <v>-1.2555907354822324E-2</v>
      </c>
      <c r="E36" s="8">
        <f>+E16/E8</f>
        <v>0.12183683733165977</v>
      </c>
      <c r="G36" s="8">
        <f>+G16/G8</f>
        <v>3.7308395212144137E-2</v>
      </c>
      <c r="H36" s="8">
        <f>+H16/H8</f>
        <v>8.1510000577511774E-2</v>
      </c>
      <c r="I36" s="8">
        <f t="shared" ref="I36:J36" si="73">+I16/I8</f>
        <v>0.10888896954738475</v>
      </c>
      <c r="J36" s="8">
        <f t="shared" si="73"/>
        <v>-2.5077018093313173E-2</v>
      </c>
      <c r="K36" s="8">
        <f>+K16/K8</f>
        <v>0.18220520959760991</v>
      </c>
      <c r="L36" s="8">
        <f>+L16/L8</f>
        <v>0.19341436628632058</v>
      </c>
      <c r="M36" s="8">
        <f t="shared" ref="M36" si="74">+M16/M8</f>
        <v>0.19679514149303959</v>
      </c>
      <c r="P36" s="8">
        <f>+P16/P8</f>
        <v>-0.1257113193413148</v>
      </c>
      <c r="Q36" s="8">
        <f t="shared" ref="Q36:R36" si="75">+Q16/Q8</f>
        <v>-0.11382806697930174</v>
      </c>
      <c r="R36" s="8">
        <f t="shared" si="75"/>
        <v>1.3638135440137476E-2</v>
      </c>
      <c r="S36" s="8">
        <f t="shared" ref="S36" si="76">+S16/S8</f>
        <v>0.17895325215580188</v>
      </c>
    </row>
    <row r="37" spans="2:25" x14ac:dyDescent="0.25">
      <c r="B37" s="1" t="s">
        <v>39</v>
      </c>
      <c r="C37" s="8">
        <f t="shared" ref="C37:D37" si="77">+C21/C8</f>
        <v>0.11334333969384315</v>
      </c>
      <c r="D37" s="8">
        <f t="shared" si="77"/>
        <v>-2.9135329819372748E-2</v>
      </c>
      <c r="E37" s="8">
        <f>+E21/E8</f>
        <v>0.11350203534231147</v>
      </c>
      <c r="G37" s="8">
        <f>+G21/G8</f>
        <v>-9.5864135535176555E-3</v>
      </c>
      <c r="H37" s="8">
        <f>+H21/H8</f>
        <v>3.5994378886172525E-2</v>
      </c>
      <c r="I37" s="8">
        <f>+I21/I8</f>
        <v>8.3931617727124139E-2</v>
      </c>
      <c r="J37" s="8">
        <f t="shared" ref="J37" si="78">+J21/J8</f>
        <v>-0.11741102263217303</v>
      </c>
      <c r="K37" s="8">
        <f>+K21/K8</f>
        <v>0.12649799271776677</v>
      </c>
      <c r="L37" s="8">
        <f>+L21/L8</f>
        <v>0.14029745174320127</v>
      </c>
      <c r="M37" s="8">
        <f t="shared" ref="M37" si="79">+M21/M8</f>
        <v>0.15628807141419859</v>
      </c>
      <c r="P37" s="8">
        <f>+P21/P8</f>
        <v>0.4215583971823213</v>
      </c>
      <c r="Q37" s="8">
        <f t="shared" ref="Q37:R37" si="80">+Q21/Q8</f>
        <v>-0.1263128069303589</v>
      </c>
      <c r="R37" s="8">
        <f t="shared" si="80"/>
        <v>-3.8880807735090464E-2</v>
      </c>
      <c r="S37" s="8">
        <f t="shared" ref="S37" si="81">+S21/S8</f>
        <v>0.11559259940110653</v>
      </c>
    </row>
    <row r="39" spans="2:25" x14ac:dyDescent="0.25">
      <c r="B39" s="1" t="s">
        <v>40</v>
      </c>
      <c r="C39" s="1">
        <v>19.358000000000001</v>
      </c>
      <c r="D39" s="1">
        <f>44.767-C39</f>
        <v>25.409000000000002</v>
      </c>
      <c r="E39" s="1">
        <f>81.769-D39-C39</f>
        <v>37.001999999999995</v>
      </c>
      <c r="F39" s="1">
        <v>51.171999999999997</v>
      </c>
      <c r="G39" s="1">
        <v>13.388999999999999</v>
      </c>
      <c r="H39" s="1">
        <f>56.1-G39</f>
        <v>42.710999999999999</v>
      </c>
      <c r="I39" s="1">
        <f>118.669-H39-G39</f>
        <v>62.569000000000003</v>
      </c>
      <c r="J39" s="1">
        <v>63.417000000000002</v>
      </c>
      <c r="K39" s="1">
        <v>2.42</v>
      </c>
      <c r="L39" s="1">
        <f>35.345-K39</f>
        <v>32.924999999999997</v>
      </c>
      <c r="M39" s="1">
        <f>128.839-L39-K39</f>
        <v>93.494</v>
      </c>
      <c r="P39" s="2">
        <v>104.837</v>
      </c>
      <c r="Q39" s="2">
        <v>132.941</v>
      </c>
      <c r="R39" s="2">
        <v>182.08600000000001</v>
      </c>
      <c r="S39" s="1">
        <v>123.441</v>
      </c>
    </row>
    <row r="40" spans="2:25" x14ac:dyDescent="0.25">
      <c r="B40" s="1" t="s">
        <v>41</v>
      </c>
      <c r="C40" s="1">
        <v>4.9960000000000004</v>
      </c>
      <c r="D40" s="1">
        <f>8.049-C40</f>
        <v>3.052999999999999</v>
      </c>
      <c r="E40" s="1">
        <f>11.311-D40-C40</f>
        <v>3.2620000000000005</v>
      </c>
      <c r="F40" s="1">
        <v>5.0220000000000002</v>
      </c>
      <c r="G40" s="1">
        <v>6.8109999999999999</v>
      </c>
      <c r="H40" s="1">
        <f>9.21-G40</f>
        <v>2.3990000000000009</v>
      </c>
      <c r="I40" s="1">
        <f>12.769-G40-H40</f>
        <v>3.5589999999999993</v>
      </c>
      <c r="J40" s="1">
        <v>2.1659999999999999</v>
      </c>
      <c r="K40" s="1">
        <v>2.8010000000000002</v>
      </c>
      <c r="L40" s="1">
        <v>4.5309999999999997</v>
      </c>
      <c r="M40" s="1">
        <f>6.15-L40-K40</f>
        <v>-1.1819999999999995</v>
      </c>
      <c r="P40" s="2">
        <v>13.653</v>
      </c>
      <c r="Q40" s="2">
        <v>16.332999999999998</v>
      </c>
      <c r="R40" s="2">
        <v>14.935</v>
      </c>
      <c r="S40" s="1">
        <v>9.3190000000000008</v>
      </c>
    </row>
    <row r="41" spans="2:25" x14ac:dyDescent="0.25">
      <c r="B41" s="5" t="s">
        <v>42</v>
      </c>
      <c r="C41" s="5">
        <f t="shared" ref="C41:K41" si="82">+C39-C40</f>
        <v>14.362</v>
      </c>
      <c r="D41" s="5">
        <f t="shared" si="82"/>
        <v>22.356000000000002</v>
      </c>
      <c r="E41" s="5">
        <f t="shared" si="82"/>
        <v>33.739999999999995</v>
      </c>
      <c r="F41" s="5">
        <f t="shared" si="82"/>
        <v>46.15</v>
      </c>
      <c r="G41" s="5">
        <f t="shared" si="82"/>
        <v>6.5779999999999994</v>
      </c>
      <c r="H41" s="5">
        <f t="shared" si="82"/>
        <v>40.311999999999998</v>
      </c>
      <c r="I41" s="5">
        <f t="shared" si="82"/>
        <v>59.010000000000005</v>
      </c>
      <c r="J41" s="5">
        <f t="shared" si="82"/>
        <v>61.251000000000005</v>
      </c>
      <c r="K41" s="5">
        <f t="shared" si="82"/>
        <v>-0.38100000000000023</v>
      </c>
      <c r="L41" s="5">
        <f>+L39-L40</f>
        <v>28.393999999999998</v>
      </c>
      <c r="M41" s="5">
        <f t="shared" ref="M41" si="83">+M39-M40</f>
        <v>94.676000000000002</v>
      </c>
      <c r="P41" s="6">
        <f t="shared" ref="P41:S41" si="84">+P39-P40</f>
        <v>91.183999999999997</v>
      </c>
      <c r="Q41" s="6">
        <f t="shared" si="84"/>
        <v>116.608</v>
      </c>
      <c r="R41" s="6">
        <f t="shared" si="84"/>
        <v>167.15100000000001</v>
      </c>
      <c r="S41" s="6">
        <f t="shared" si="84"/>
        <v>114.122</v>
      </c>
    </row>
    <row r="42" spans="2:25" x14ac:dyDescent="0.25">
      <c r="B42" s="1" t="s">
        <v>43</v>
      </c>
      <c r="H42" s="1">
        <v>20.89</v>
      </c>
      <c r="I42" s="1">
        <f>20.89-H42</f>
        <v>0</v>
      </c>
      <c r="J42" s="1">
        <v>91.94</v>
      </c>
      <c r="K42" s="1">
        <v>62.107999999999997</v>
      </c>
      <c r="L42" s="1">
        <f>62.108-K42</f>
        <v>0</v>
      </c>
      <c r="M42" s="1">
        <f>151.843-L42-K42</f>
        <v>89.734999999999985</v>
      </c>
      <c r="P42" s="2"/>
      <c r="Q42" s="2"/>
      <c r="R42" s="2">
        <v>112.83</v>
      </c>
      <c r="S42" s="2">
        <v>192.113</v>
      </c>
    </row>
    <row r="43" spans="2:25" x14ac:dyDescent="0.25">
      <c r="P43" s="2"/>
      <c r="Q43" s="7">
        <f t="shared" ref="Q43" si="85">+Q41/P41-1</f>
        <v>0.27882084576241462</v>
      </c>
      <c r="R43" s="7">
        <f>+R41/Q41-1</f>
        <v>0.43344367453347976</v>
      </c>
      <c r="S43" s="7">
        <f>+S41/R41-1</f>
        <v>-0.31725206549766383</v>
      </c>
    </row>
    <row r="44" spans="2:25" x14ac:dyDescent="0.25">
      <c r="B44" s="1" t="s">
        <v>44</v>
      </c>
      <c r="P44" s="2"/>
      <c r="Q44" s="2"/>
      <c r="R44" s="7"/>
    </row>
    <row r="46" spans="2:25" x14ac:dyDescent="0.25">
      <c r="B46" s="1" t="s">
        <v>45</v>
      </c>
      <c r="C46" s="15">
        <v>1.7751999999999999</v>
      </c>
      <c r="D46" s="15">
        <v>1.9245000000000001</v>
      </c>
      <c r="E46" s="15">
        <v>2.0880999999999998</v>
      </c>
      <c r="F46" s="15"/>
      <c r="G46" s="15">
        <v>2.3188</v>
      </c>
      <c r="H46" s="15">
        <v>2.4578000000000002</v>
      </c>
      <c r="I46" s="15">
        <v>2.6049000000000002</v>
      </c>
      <c r="J46" s="15">
        <v>2.6879</v>
      </c>
      <c r="K46" s="15">
        <v>2.73</v>
      </c>
      <c r="L46" s="15">
        <v>2.8172000000000001</v>
      </c>
      <c r="M46" s="15">
        <v>2.8693</v>
      </c>
      <c r="N46" s="15">
        <v>2.8126000000000002</v>
      </c>
      <c r="P46" s="13">
        <v>1.4998</v>
      </c>
      <c r="Q46" s="13">
        <v>2.0022000000000002</v>
      </c>
      <c r="R46" s="13">
        <v>2.5173999999999999</v>
      </c>
      <c r="S46" s="13">
        <f>+N46</f>
        <v>2.8126000000000002</v>
      </c>
      <c r="T46" s="13">
        <f>+S46*1.1</f>
        <v>3.0938600000000003</v>
      </c>
      <c r="U46" s="13">
        <f>+T46*1.05</f>
        <v>3.2485530000000002</v>
      </c>
      <c r="V46" s="13">
        <f t="shared" ref="V46:Y46" si="86">+U46*1.05</f>
        <v>3.4109806500000004</v>
      </c>
      <c r="W46" s="13">
        <f t="shared" si="86"/>
        <v>3.5815296825000007</v>
      </c>
      <c r="X46" s="13">
        <f t="shared" si="86"/>
        <v>3.760606166625001</v>
      </c>
      <c r="Y46" s="13">
        <f t="shared" si="86"/>
        <v>3.9486364749562513</v>
      </c>
    </row>
    <row r="47" spans="2:25" x14ac:dyDescent="0.25">
      <c r="B47" s="10" t="s">
        <v>51</v>
      </c>
      <c r="K47" s="8">
        <f t="shared" ref="K47" si="87">+K46/G46-1</f>
        <v>0.17733310332930818</v>
      </c>
      <c r="L47" s="8">
        <f>+L46/H46-1</f>
        <v>0.14622833428269177</v>
      </c>
      <c r="M47" s="8">
        <f t="shared" ref="M47" si="88">+M46/I46-1</f>
        <v>0.10150101731352446</v>
      </c>
      <c r="N47" s="8">
        <f t="shared" ref="N47" si="89">+N46/J46-1</f>
        <v>4.6393094981212135E-2</v>
      </c>
      <c r="Q47" s="8">
        <f t="shared" ref="Q47" si="90">+Q46/P46-1</f>
        <v>0.33497799706627562</v>
      </c>
      <c r="R47" s="8">
        <f>+R46/Q46-1</f>
        <v>0.25731695135351096</v>
      </c>
      <c r="S47" s="8">
        <f t="shared" ref="S47:Y47" si="91">+S46/R46-1</f>
        <v>0.11726384364820852</v>
      </c>
      <c r="T47" s="8">
        <f t="shared" si="91"/>
        <v>0.10000000000000009</v>
      </c>
      <c r="U47" s="8">
        <f t="shared" si="91"/>
        <v>5.0000000000000044E-2</v>
      </c>
      <c r="V47" s="8">
        <f t="shared" si="91"/>
        <v>5.0000000000000044E-2</v>
      </c>
      <c r="W47" s="8">
        <f t="shared" si="91"/>
        <v>5.0000000000000044E-2</v>
      </c>
      <c r="X47" s="8">
        <f t="shared" si="91"/>
        <v>5.0000000000000044E-2</v>
      </c>
      <c r="Y47" s="8">
        <f t="shared" si="91"/>
        <v>5.0000000000000044E-2</v>
      </c>
    </row>
    <row r="48" spans="2:25" x14ac:dyDescent="0.25">
      <c r="B48" s="1" t="s">
        <v>46</v>
      </c>
      <c r="C48" s="15">
        <v>1.232</v>
      </c>
      <c r="D48" s="15">
        <v>1.0962000000000001</v>
      </c>
      <c r="E48" s="15">
        <v>1.2021999999999999</v>
      </c>
      <c r="F48" s="15"/>
      <c r="G48" s="15">
        <v>1.141</v>
      </c>
      <c r="H48" s="15">
        <v>1.1755</v>
      </c>
      <c r="I48" s="15">
        <v>1.2156</v>
      </c>
      <c r="J48" s="15">
        <v>1.2811999999999999</v>
      </c>
      <c r="K48" s="15">
        <v>1.2943</v>
      </c>
      <c r="L48" s="15">
        <v>1.3213999999999999</v>
      </c>
      <c r="M48" s="15">
        <v>1.3862000000000001</v>
      </c>
      <c r="N48" s="15">
        <v>1.3662000000000001</v>
      </c>
      <c r="P48" s="13">
        <v>1.3940999999999999</v>
      </c>
      <c r="Q48" s="13">
        <v>1.1797</v>
      </c>
      <c r="R48" s="13">
        <v>1.2033</v>
      </c>
      <c r="S48" s="13">
        <f>+N48</f>
        <v>1.3662000000000001</v>
      </c>
      <c r="T48" s="13">
        <f t="shared" ref="T48:Y48" si="92">+S48*1.01</f>
        <v>1.3798620000000001</v>
      </c>
      <c r="U48" s="13">
        <f t="shared" si="92"/>
        <v>1.3936606200000001</v>
      </c>
      <c r="V48" s="13">
        <f t="shared" si="92"/>
        <v>1.4075972262000001</v>
      </c>
      <c r="W48" s="13">
        <f t="shared" si="92"/>
        <v>1.4216731984620001</v>
      </c>
      <c r="X48" s="13">
        <f t="shared" si="92"/>
        <v>1.4358899304466202</v>
      </c>
      <c r="Y48" s="13">
        <f t="shared" si="92"/>
        <v>1.4502488297510865</v>
      </c>
    </row>
    <row r="49" spans="2:25" x14ac:dyDescent="0.25">
      <c r="B49" s="10" t="s">
        <v>51</v>
      </c>
      <c r="K49" s="8">
        <f t="shared" ref="K49" si="93">+K48/G48-1</f>
        <v>0.13435582822085879</v>
      </c>
      <c r="L49" s="8">
        <f>+L48/H48-1</f>
        <v>0.12411739685240319</v>
      </c>
      <c r="M49" s="8">
        <f t="shared" ref="M49" si="94">+M48/I48-1</f>
        <v>0.14034221783481415</v>
      </c>
      <c r="N49" s="8">
        <f t="shared" ref="N49" si="95">+N48/J48-1</f>
        <v>6.6344052450827418E-2</v>
      </c>
      <c r="Q49" s="8">
        <f t="shared" ref="Q49" si="96">+Q48/P48-1</f>
        <v>-0.15379097625708338</v>
      </c>
      <c r="R49" s="8">
        <f>+R48/Q48-1</f>
        <v>2.000508603882345E-2</v>
      </c>
      <c r="S49" s="8">
        <f t="shared" ref="S49:Y49" si="97">+S48/R48-1</f>
        <v>0.1353777112939416</v>
      </c>
      <c r="T49" s="8">
        <f t="shared" si="97"/>
        <v>1.0000000000000009E-2</v>
      </c>
      <c r="U49" s="8">
        <f t="shared" si="97"/>
        <v>1.0000000000000009E-2</v>
      </c>
      <c r="V49" s="8">
        <f t="shared" si="97"/>
        <v>1.0000000000000009E-2</v>
      </c>
      <c r="W49" s="8">
        <f t="shared" si="97"/>
        <v>1.0000000000000009E-2</v>
      </c>
      <c r="X49" s="8">
        <f t="shared" si="97"/>
        <v>1.0000000000000009E-2</v>
      </c>
      <c r="Y49" s="8">
        <f t="shared" si="97"/>
        <v>1.0000000000000009E-2</v>
      </c>
    </row>
    <row r="50" spans="2:25" x14ac:dyDescent="0.25">
      <c r="B50" s="1" t="s">
        <v>47</v>
      </c>
      <c r="C50" s="15">
        <f t="shared" ref="C50" si="98">+C46+C48</f>
        <v>3.0072000000000001</v>
      </c>
      <c r="D50" s="15">
        <f>+D46+D48</f>
        <v>3.0207000000000002</v>
      </c>
      <c r="E50" s="15">
        <f t="shared" ref="E50" si="99">+E46+E48</f>
        <v>3.2902999999999998</v>
      </c>
      <c r="F50" s="15"/>
      <c r="G50" s="15">
        <v>3.4598</v>
      </c>
      <c r="H50" s="15">
        <v>3.6333000000000002</v>
      </c>
      <c r="I50" s="15">
        <v>3.6333000000000002</v>
      </c>
      <c r="J50" s="15">
        <v>3.6333000000000002</v>
      </c>
      <c r="K50" s="15">
        <v>4.0243000000000002</v>
      </c>
      <c r="L50" s="15">
        <v>4.1386000000000003</v>
      </c>
      <c r="M50" s="15">
        <v>4.1386000000000003</v>
      </c>
      <c r="N50" s="15">
        <v>4.1386000000000003</v>
      </c>
      <c r="P50" s="13">
        <f t="shared" ref="P50:Q50" si="100">+P46+P48</f>
        <v>2.8938999999999999</v>
      </c>
      <c r="Q50" s="13">
        <f t="shared" si="100"/>
        <v>3.1819000000000002</v>
      </c>
      <c r="R50" s="13">
        <f>+R46+R48</f>
        <v>3.7206999999999999</v>
      </c>
      <c r="S50" s="13">
        <f>+S46+S48</f>
        <v>4.1788000000000007</v>
      </c>
      <c r="T50" s="13">
        <f t="shared" ref="T50:Y50" si="101">+T46+T48</f>
        <v>4.4737220000000004</v>
      </c>
      <c r="U50" s="13">
        <f t="shared" si="101"/>
        <v>4.6422136200000006</v>
      </c>
      <c r="V50" s="13">
        <f t="shared" si="101"/>
        <v>4.8185778762000009</v>
      </c>
      <c r="W50" s="13">
        <f t="shared" si="101"/>
        <v>5.0032028809620011</v>
      </c>
      <c r="X50" s="13">
        <f t="shared" si="101"/>
        <v>5.1964960970716216</v>
      </c>
      <c r="Y50" s="13">
        <f t="shared" si="101"/>
        <v>5.3988853047073375</v>
      </c>
    </row>
    <row r="51" spans="2:25" x14ac:dyDescent="0.25">
      <c r="B51" s="10" t="s">
        <v>51</v>
      </c>
      <c r="K51" s="8">
        <f t="shared" ref="K51" si="102">+K50/G50-1</f>
        <v>0.16315972021504144</v>
      </c>
      <c r="L51" s="8">
        <f>+L50/H50-1</f>
        <v>0.13907467040982024</v>
      </c>
      <c r="M51" s="8">
        <f t="shared" ref="M51" si="103">+M50/I50-1</f>
        <v>0.13907467040982024</v>
      </c>
      <c r="N51" s="8">
        <f t="shared" ref="N51" si="104">+N50/J50-1</f>
        <v>0.13907467040982024</v>
      </c>
      <c r="Q51" s="8">
        <f t="shared" ref="Q51" si="105">+Q50/P50-1</f>
        <v>9.9519679325477783E-2</v>
      </c>
      <c r="R51" s="8">
        <f>+R50/Q50-1</f>
        <v>0.16933278858543632</v>
      </c>
      <c r="S51" s="8">
        <f t="shared" ref="S51:Y51" si="106">+S50/R50-1</f>
        <v>0.12312199317332784</v>
      </c>
      <c r="T51" s="8">
        <f t="shared" si="106"/>
        <v>7.0575763377045853E-2</v>
      </c>
      <c r="U51" s="8">
        <f t="shared" si="106"/>
        <v>3.7662514568406413E-2</v>
      </c>
      <c r="V51" s="8">
        <f t="shared" si="106"/>
        <v>3.7991413286146969E-2</v>
      </c>
      <c r="W51" s="8">
        <f t="shared" si="106"/>
        <v>3.8315247673780028E-2</v>
      </c>
      <c r="X51" s="8">
        <f t="shared" si="106"/>
        <v>3.8633895268395557E-2</v>
      </c>
      <c r="Y51" s="8">
        <f t="shared" si="106"/>
        <v>3.8947245192730628E-2</v>
      </c>
    </row>
    <row r="52" spans="2:25" x14ac:dyDescent="0.25">
      <c r="B52" s="1" t="s">
        <v>48</v>
      </c>
      <c r="C52" s="9">
        <v>29.18</v>
      </c>
      <c r="D52" s="9">
        <v>29.38</v>
      </c>
      <c r="E52" s="9">
        <v>28.84</v>
      </c>
      <c r="F52" s="9"/>
      <c r="G52" s="9">
        <v>27.93</v>
      </c>
      <c r="H52" s="9">
        <v>28.21</v>
      </c>
      <c r="I52" s="9">
        <v>28.38</v>
      </c>
      <c r="J52" s="9">
        <v>27.37</v>
      </c>
      <c r="K52" s="9">
        <v>26.34</v>
      </c>
      <c r="L52" s="9">
        <v>25.79</v>
      </c>
      <c r="M52" s="14">
        <v>25.58</v>
      </c>
      <c r="N52" s="14">
        <v>25.17</v>
      </c>
      <c r="P52" s="9">
        <v>29.37</v>
      </c>
      <c r="Q52" s="9">
        <v>28.9</v>
      </c>
      <c r="R52" s="9">
        <v>27.97</v>
      </c>
      <c r="S52" s="13">
        <f>+N52</f>
        <v>25.17</v>
      </c>
    </row>
    <row r="53" spans="2:25" x14ac:dyDescent="0.25">
      <c r="B53" s="10" t="s">
        <v>51</v>
      </c>
      <c r="K53" s="8">
        <f t="shared" ref="K53" si="107">+K52/G52-1</f>
        <v>-5.6928034371643399E-2</v>
      </c>
      <c r="L53" s="8">
        <f>+L52/H52-1</f>
        <v>-8.5785182559376172E-2</v>
      </c>
      <c r="M53" s="8">
        <f t="shared" ref="M53" si="108">+M52/I52-1</f>
        <v>-9.8661028893587077E-2</v>
      </c>
      <c r="N53" s="8">
        <f t="shared" ref="N53" si="109">+N52/J52-1</f>
        <v>-8.0379978078187753E-2</v>
      </c>
      <c r="Q53" s="8">
        <f t="shared" ref="Q53" si="110">+Q52/P52-1</f>
        <v>-1.6002723867892477E-2</v>
      </c>
      <c r="R53" s="8">
        <f>+R52/Q52-1</f>
        <v>-3.2179930795847689E-2</v>
      </c>
      <c r="S53" s="8">
        <f t="shared" ref="S53" si="111">+S52/R52-1</f>
        <v>-0.10010725777618867</v>
      </c>
      <c r="T53" s="8"/>
      <c r="U53" s="8"/>
      <c r="V53" s="8"/>
      <c r="W53" s="8"/>
      <c r="X53" s="8"/>
      <c r="Y53" s="8"/>
    </row>
    <row r="54" spans="2:25" x14ac:dyDescent="0.25">
      <c r="B54" s="1" t="s">
        <v>49</v>
      </c>
      <c r="C54" s="9">
        <v>13.51</v>
      </c>
      <c r="D54" s="9">
        <v>13.6</v>
      </c>
      <c r="E54" s="9">
        <v>12.75</v>
      </c>
      <c r="F54" s="9"/>
      <c r="G54" s="9">
        <v>12.47</v>
      </c>
      <c r="H54" s="9">
        <v>12.83</v>
      </c>
      <c r="I54" s="9">
        <v>12.79</v>
      </c>
      <c r="J54" s="9">
        <v>12.69</v>
      </c>
      <c r="K54" s="9">
        <v>12.35</v>
      </c>
      <c r="L54" s="9">
        <v>11.93</v>
      </c>
      <c r="M54" s="14">
        <v>12.03</v>
      </c>
      <c r="N54" s="14">
        <v>11.13</v>
      </c>
      <c r="P54" s="9">
        <v>13.13</v>
      </c>
      <c r="Q54" s="9">
        <v>13.06</v>
      </c>
      <c r="R54" s="9">
        <v>12.7</v>
      </c>
      <c r="S54" s="13">
        <f>+N54</f>
        <v>11.13</v>
      </c>
    </row>
    <row r="55" spans="2:25" x14ac:dyDescent="0.25">
      <c r="B55" s="10" t="s">
        <v>51</v>
      </c>
      <c r="K55" s="8">
        <f t="shared" ref="K55" si="112">+K54/G54-1</f>
        <v>-9.6230954290297266E-3</v>
      </c>
      <c r="L55" s="8">
        <f>+L54/H54-1</f>
        <v>-7.0148090413094333E-2</v>
      </c>
      <c r="M55" s="8">
        <f t="shared" ref="M55" si="113">+M54/I54-1</f>
        <v>-5.9421422986708383E-2</v>
      </c>
      <c r="N55" s="8">
        <f t="shared" ref="N55" si="114">+N54/J54-1</f>
        <v>-0.12293144208037821</v>
      </c>
      <c r="Q55" s="8">
        <f t="shared" ref="Q55" si="115">+Q54/P54-1</f>
        <v>-5.331302361005319E-3</v>
      </c>
      <c r="R55" s="8">
        <f>+R54/Q54-1</f>
        <v>-2.7565084226646386E-2</v>
      </c>
      <c r="S55" s="8">
        <f t="shared" ref="S55" si="116">+S54/R54-1</f>
        <v>-0.12362204724409442</v>
      </c>
    </row>
    <row r="56" spans="2:25" x14ac:dyDescent="0.25">
      <c r="B56" s="1" t="s">
        <v>50</v>
      </c>
      <c r="C56" s="9">
        <v>22.76</v>
      </c>
      <c r="D56" s="9">
        <v>23.65</v>
      </c>
      <c r="E56" s="9">
        <v>22.96</v>
      </c>
      <c r="F56" s="9"/>
      <c r="G56" s="9">
        <v>22.83</v>
      </c>
      <c r="H56" s="9">
        <v>23.23</v>
      </c>
      <c r="I56" s="9">
        <v>23.42</v>
      </c>
      <c r="J56" s="9">
        <v>22.64</v>
      </c>
      <c r="K56" s="9">
        <v>21.84</v>
      </c>
      <c r="L56" s="9">
        <v>21.37</v>
      </c>
      <c r="M56" s="14">
        <v>21.17</v>
      </c>
      <c r="N56" s="1">
        <v>20.58</v>
      </c>
      <c r="P56" s="9">
        <v>21.55</v>
      </c>
      <c r="Q56" s="9">
        <v>23.03</v>
      </c>
      <c r="R56" s="9">
        <v>23.03</v>
      </c>
      <c r="S56" s="13">
        <f>+N56</f>
        <v>20.58</v>
      </c>
      <c r="T56" s="9">
        <f t="shared" ref="T56:Y56" si="117">+S56*1.025</f>
        <v>21.094499999999996</v>
      </c>
      <c r="U56" s="9">
        <f t="shared" si="117"/>
        <v>21.621862499999995</v>
      </c>
      <c r="V56" s="9">
        <f t="shared" si="117"/>
        <v>22.162409062499993</v>
      </c>
      <c r="W56" s="9">
        <f t="shared" si="117"/>
        <v>22.716469289062491</v>
      </c>
      <c r="X56" s="9">
        <f t="shared" si="117"/>
        <v>23.28438102128905</v>
      </c>
      <c r="Y56" s="9">
        <f t="shared" si="117"/>
        <v>23.866490546821275</v>
      </c>
    </row>
    <row r="57" spans="2:25" x14ac:dyDescent="0.25">
      <c r="K57" s="8">
        <f t="shared" ref="K57" si="118">+K56/G56-1</f>
        <v>-4.3363994743758183E-2</v>
      </c>
      <c r="L57" s="8">
        <f>+L56/H56-1</f>
        <v>-8.0068876452862647E-2</v>
      </c>
      <c r="M57" s="8">
        <f t="shared" ref="M57" si="119">+M56/I56-1</f>
        <v>-9.6071733561058914E-2</v>
      </c>
      <c r="N57" s="8">
        <f t="shared" ref="N57" si="120">+N56/J56-1</f>
        <v>-9.098939929328631E-2</v>
      </c>
      <c r="Q57" s="8">
        <f t="shared" ref="Q57" si="121">+Q56/P56-1</f>
        <v>6.867749419953606E-2</v>
      </c>
      <c r="R57" s="8">
        <f>+R56/Q56-1</f>
        <v>0</v>
      </c>
      <c r="S57" s="8">
        <f t="shared" ref="S57:Y57" si="122">+S56/R56-1</f>
        <v>-0.10638297872340441</v>
      </c>
      <c r="T57" s="8">
        <f t="shared" si="122"/>
        <v>2.4999999999999911E-2</v>
      </c>
      <c r="U57" s="8">
        <f t="shared" si="122"/>
        <v>2.4999999999999911E-2</v>
      </c>
      <c r="V57" s="8">
        <f t="shared" si="122"/>
        <v>2.4999999999999911E-2</v>
      </c>
      <c r="W57" s="8">
        <f t="shared" si="122"/>
        <v>2.4999999999999911E-2</v>
      </c>
      <c r="X57" s="8">
        <f t="shared" si="122"/>
        <v>2.4999999999999911E-2</v>
      </c>
      <c r="Y57" s="8">
        <f t="shared" si="122"/>
        <v>2.4999999999999911E-2</v>
      </c>
    </row>
    <row r="58" spans="2:25" x14ac:dyDescent="0.25">
      <c r="K58" s="8"/>
      <c r="L58" s="8"/>
    </row>
    <row r="59" spans="2:25" x14ac:dyDescent="0.25">
      <c r="B59" s="1" t="s">
        <v>56</v>
      </c>
      <c r="P59" s="8">
        <f t="shared" ref="P59:Q59" si="123">+P2/P8</f>
        <v>0.57740074384618412</v>
      </c>
      <c r="Q59" s="8">
        <f t="shared" si="123"/>
        <v>0.604851339729918</v>
      </c>
      <c r="R59" s="8">
        <f>+R2/R8</f>
        <v>0.56810035842293904</v>
      </c>
      <c r="S59" s="8">
        <f t="shared" ref="S59" si="124">+S2/S8</f>
        <v>0.48237332768468605</v>
      </c>
    </row>
    <row r="60" spans="2:25" x14ac:dyDescent="0.25">
      <c r="B60" s="1" t="s">
        <v>57</v>
      </c>
      <c r="P60" s="8">
        <f t="shared" ref="P60:Q60" si="125">+P3/P8</f>
        <v>0.42259925615381577</v>
      </c>
      <c r="Q60" s="8">
        <f t="shared" si="125"/>
        <v>0.39514866027008211</v>
      </c>
      <c r="R60" s="8">
        <f>+R3/R8</f>
        <v>0.43189964157706101</v>
      </c>
      <c r="S60" s="8">
        <f t="shared" ref="S60" si="126">+S3/S8</f>
        <v>0.51762667231531401</v>
      </c>
    </row>
  </sheetData>
  <hyperlinks>
    <hyperlink ref="A1" location="main!A1" display="main" xr:uid="{847C03F6-4B93-48C4-84E6-C90F448E7A6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 Duarte Morais</cp:lastModifiedBy>
  <dcterms:created xsi:type="dcterms:W3CDTF">2024-09-05T22:01:13Z</dcterms:created>
  <dcterms:modified xsi:type="dcterms:W3CDTF">2025-03-27T09:51:44Z</dcterms:modified>
</cp:coreProperties>
</file>