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ecc0a7aee32c85f/Ambiente de Trabalho/models/"/>
    </mc:Choice>
  </mc:AlternateContent>
  <xr:revisionPtr revIDLastSave="0" documentId="8_{C137F0C7-8A98-4B61-8E3D-155235583FA2}" xr6:coauthVersionLast="47" xr6:coauthVersionMax="47" xr10:uidLastSave="{00000000-0000-0000-0000-000000000000}"/>
  <bookViews>
    <workbookView xWindow="14295" yWindow="0" windowWidth="14610" windowHeight="15585" xr2:uid="{568F34F6-02B6-4E6A-B34B-561A3FCC728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2" l="1"/>
  <c r="P33" i="2"/>
  <c r="Q32" i="2"/>
  <c r="P32" i="2"/>
  <c r="P31" i="2"/>
  <c r="Q31" i="2"/>
  <c r="P22" i="2"/>
  <c r="Q22" i="2"/>
  <c r="O20" i="2"/>
  <c r="O21" i="2" s="1"/>
  <c r="P20" i="2"/>
  <c r="P21" i="2" s="1"/>
  <c r="Q20" i="2"/>
  <c r="Q21" i="2" s="1"/>
  <c r="P17" i="2"/>
  <c r="Q17" i="2"/>
  <c r="Q1" i="2"/>
  <c r="R1" i="2" s="1"/>
  <c r="S1" i="2" s="1"/>
  <c r="T1" i="2" s="1"/>
  <c r="U1" i="2" s="1"/>
  <c r="V1" i="2" s="1"/>
  <c r="W1" i="2" s="1"/>
  <c r="P1" i="2"/>
  <c r="W21" i="2"/>
  <c r="V21" i="2"/>
  <c r="U21" i="2"/>
  <c r="T21" i="2"/>
  <c r="S21" i="2"/>
  <c r="R21" i="2"/>
  <c r="T9" i="2"/>
  <c r="T11" i="2" s="1"/>
  <c r="T13" i="2" s="1"/>
  <c r="T15" i="2" s="1"/>
  <c r="W8" i="2"/>
  <c r="V8" i="2"/>
  <c r="U8" i="2"/>
  <c r="U9" i="2" s="1"/>
  <c r="U11" i="2" s="1"/>
  <c r="U13" i="2" s="1"/>
  <c r="U15" i="2" s="1"/>
  <c r="T8" i="2"/>
  <c r="S8" i="2"/>
  <c r="R8" i="2"/>
  <c r="Q8" i="2"/>
  <c r="P8" i="2"/>
  <c r="O8" i="2"/>
  <c r="W4" i="2"/>
  <c r="W9" i="2" s="1"/>
  <c r="W11" i="2" s="1"/>
  <c r="W13" i="2" s="1"/>
  <c r="W15" i="2" s="1"/>
  <c r="V4" i="2"/>
  <c r="V9" i="2" s="1"/>
  <c r="V11" i="2" s="1"/>
  <c r="V13" i="2" s="1"/>
  <c r="V15" i="2" s="1"/>
  <c r="U4" i="2"/>
  <c r="T4" i="2"/>
  <c r="S4" i="2"/>
  <c r="S9" i="2" s="1"/>
  <c r="S11" i="2" s="1"/>
  <c r="S13" i="2" s="1"/>
  <c r="S15" i="2" s="1"/>
  <c r="R4" i="2"/>
  <c r="R9" i="2" s="1"/>
  <c r="R11" i="2" s="1"/>
  <c r="R13" i="2" s="1"/>
  <c r="R15" i="2" s="1"/>
  <c r="Q4" i="2"/>
  <c r="P4" i="2"/>
  <c r="O4" i="2"/>
  <c r="G20" i="2"/>
  <c r="G21" i="2" s="1"/>
  <c r="K20" i="2"/>
  <c r="K21" i="2" s="1"/>
  <c r="K33" i="2"/>
  <c r="K32" i="2"/>
  <c r="K31" i="2"/>
  <c r="L33" i="2"/>
  <c r="L32" i="2"/>
  <c r="L31" i="2"/>
  <c r="K17" i="2"/>
  <c r="H27" i="2"/>
  <c r="L27" i="2"/>
  <c r="H25" i="2"/>
  <c r="L25" i="2"/>
  <c r="H24" i="2"/>
  <c r="L24" i="2"/>
  <c r="H19" i="2"/>
  <c r="J21" i="2"/>
  <c r="I21" i="2"/>
  <c r="F21" i="2"/>
  <c r="E21" i="2"/>
  <c r="D21" i="2"/>
  <c r="C21" i="2"/>
  <c r="L19" i="2"/>
  <c r="L17" i="2"/>
  <c r="J15" i="2"/>
  <c r="I15" i="2"/>
  <c r="H15" i="2"/>
  <c r="F15" i="2"/>
  <c r="E15" i="2"/>
  <c r="D15" i="2"/>
  <c r="C15" i="2"/>
  <c r="L15" i="2"/>
  <c r="J13" i="2"/>
  <c r="I13" i="2"/>
  <c r="H13" i="2"/>
  <c r="F13" i="2"/>
  <c r="E13" i="2"/>
  <c r="D13" i="2"/>
  <c r="C13" i="2"/>
  <c r="L13" i="2"/>
  <c r="J11" i="2"/>
  <c r="I11" i="2"/>
  <c r="H11" i="2"/>
  <c r="F11" i="2"/>
  <c r="E11" i="2"/>
  <c r="D11" i="2"/>
  <c r="C11" i="2"/>
  <c r="L11" i="2"/>
  <c r="J9" i="2"/>
  <c r="I9" i="2"/>
  <c r="F9" i="2"/>
  <c r="E9" i="2"/>
  <c r="D9" i="2"/>
  <c r="C9" i="2"/>
  <c r="L9" i="2"/>
  <c r="K8" i="2"/>
  <c r="J8" i="2"/>
  <c r="I8" i="2"/>
  <c r="H8" i="2"/>
  <c r="H9" i="2" s="1"/>
  <c r="G8" i="2"/>
  <c r="F8" i="2"/>
  <c r="E8" i="2"/>
  <c r="D8" i="2"/>
  <c r="C8" i="2"/>
  <c r="L8" i="2"/>
  <c r="K4" i="2"/>
  <c r="J4" i="2"/>
  <c r="I4" i="2"/>
  <c r="H4" i="2"/>
  <c r="G4" i="2"/>
  <c r="F4" i="2"/>
  <c r="E4" i="2"/>
  <c r="D4" i="2"/>
  <c r="C4" i="2"/>
  <c r="L4" i="2"/>
  <c r="L8" i="1"/>
  <c r="L6" i="1"/>
  <c r="L5" i="1"/>
  <c r="Q9" i="2" l="1"/>
  <c r="Q11" i="2" s="1"/>
  <c r="Q13" i="2" s="1"/>
  <c r="Q15" i="2" s="1"/>
  <c r="P9" i="2"/>
  <c r="P11" i="2" s="1"/>
  <c r="P13" i="2" s="1"/>
  <c r="P15" i="2" s="1"/>
  <c r="O9" i="2"/>
  <c r="O11" i="2" s="1"/>
  <c r="O13" i="2" s="1"/>
  <c r="O15" i="2" s="1"/>
  <c r="H20" i="2"/>
  <c r="H21" i="2" s="1"/>
  <c r="L20" i="2"/>
  <c r="L21" i="2"/>
  <c r="G9" i="2"/>
  <c r="G11" i="2" s="1"/>
  <c r="G13" i="2" s="1"/>
  <c r="G15" i="2" s="1"/>
  <c r="K9" i="2"/>
  <c r="K11" i="2" s="1"/>
  <c r="K13" i="2" s="1"/>
  <c r="K15" i="2" s="1"/>
</calcChain>
</file>

<file path=xl/sharedStrings.xml><?xml version="1.0" encoding="utf-8"?>
<sst xmlns="http://schemas.openxmlformats.org/spreadsheetml/2006/main" count="45" uniqueCount="44">
  <si>
    <t>Ticket</t>
  </si>
  <si>
    <t>price</t>
  </si>
  <si>
    <t>S/O</t>
  </si>
  <si>
    <t>MC</t>
  </si>
  <si>
    <t>Cash</t>
  </si>
  <si>
    <t>Debt</t>
  </si>
  <si>
    <t>EV</t>
  </si>
  <si>
    <t>BOX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</si>
  <si>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</si>
  <si>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</si>
  <si>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</si>
  <si>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</si>
  <si>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</si>
  <si>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</si>
  <si>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</si>
  <si>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</si>
  <si>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</si>
  <si>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</si>
  <si>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Revenue</t>
  </si>
  <si>
    <t>main</t>
  </si>
  <si>
    <t>COGS</t>
  </si>
  <si>
    <t>Gross Profit</t>
  </si>
  <si>
    <t>R&amp;D</t>
  </si>
  <si>
    <t>S&amp;M</t>
  </si>
  <si>
    <t>G&amp;A</t>
  </si>
  <si>
    <t>Total Opex</t>
  </si>
  <si>
    <t>Operating Income</t>
  </si>
  <si>
    <t>Interest and others</t>
  </si>
  <si>
    <t>Pretax Income</t>
  </si>
  <si>
    <t>Taxes</t>
  </si>
  <si>
    <t>Net Income</t>
  </si>
  <si>
    <t>Shares</t>
  </si>
  <si>
    <t>EPS</t>
  </si>
  <si>
    <t>CFFO</t>
  </si>
  <si>
    <t>CAPEX</t>
  </si>
  <si>
    <t>FCF</t>
  </si>
  <si>
    <t>TTM FCF</t>
  </si>
  <si>
    <t>Buybacks</t>
  </si>
  <si>
    <t>SBC</t>
  </si>
  <si>
    <t>Net Cash</t>
  </si>
  <si>
    <t>NRR</t>
  </si>
  <si>
    <t>R&amp;D y/y</t>
  </si>
  <si>
    <t>S&amp;M y/y</t>
  </si>
  <si>
    <t>G&amp;A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</si>
</sst>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%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3" fillId="0" borderId="0" xfId="1" applyFont="1"/>
    <xf numFmtId="164" fontId="1" fillId="0" borderId="0" xfId="0" applyNumberFormat="1" applyFont="1"/>
    <xf numFmtId="9" fontId="1" fillId="0" borderId="0" xfId="0" applyNumberFormat="1" applyFont="1"/>
    <xf numFmtId="165" fontId="1" fillId="0" borderId="0" xfId="0" applyNumberFormat="1" applyFont="1"/>
    <xf numFmtId="0" fontId="4" fillId="0" borderId="0" xfId="0" applyFont="1"/>
    <xf numFmtId="3" fontId="4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A534-9F30-4724-B685-E5FEA0F8221D}">
  <dimension ref="K2:L8"/>
  <sheetViews>
    <sheetView tabSelected="1" workbookViewId="0">
      <selection activeCell="E16" sqref="E16"/>
    </sheetView>
  </sheetViews>
  <sheetFormatPr defaultRowHeight="12.75" x14ac:dyDescent="0.2"/>
  <cols>
    <col min="1" max="16384" width="9.140625" style="1"/>
  </cols>
  <sheetData>
    <row r="2" spans="11:12" x14ac:dyDescent="0.2">
      <c r="K2" s="1" t="s">
        <v>0</v>
      </c>
      <c r="L2" s="1" t="s">
        <v>7</v>
      </c>
    </row>
    <row r="3" spans="11:12" x14ac:dyDescent="0.2">
      <c r="K3" s="1" t="s">
        <v>1</v>
      </c>
      <c r="L3" s="1">
        <v>32.42</v>
      </c>
    </row>
    <row r="4" spans="11:12" x14ac:dyDescent="0.2">
      <c r="K4" s="1" t="s">
        <v>2</v>
      </c>
      <c r="L4" s="1">
        <v>143.22800000000001</v>
      </c>
    </row>
    <row r="5" spans="11:12" x14ac:dyDescent="0.2">
      <c r="K5" s="1" t="s">
        <v>3</v>
      </c>
      <c r="L5" s="2">
        <f>+L3*L4</f>
        <v>4643.4517600000008</v>
      </c>
    </row>
    <row r="6" spans="11:12" x14ac:dyDescent="0.2">
      <c r="K6" s="1" t="s">
        <v>4</v>
      </c>
      <c r="L6" s="2">
        <f>406.62+75.605</f>
        <v>482.22500000000002</v>
      </c>
    </row>
    <row r="7" spans="11:12" x14ac:dyDescent="0.2">
      <c r="K7" s="1" t="s">
        <v>5</v>
      </c>
      <c r="L7" s="2">
        <v>371.82400000000001</v>
      </c>
    </row>
    <row r="8" spans="11:12" x14ac:dyDescent="0.2">
      <c r="K8" s="1" t="s">
        <v>6</v>
      </c>
      <c r="L8" s="2">
        <f>+L5-L6+L7</f>
        <v>4533.0507600000001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11E-9932-4718-B9B1-A34F21EA75D1}">
  <dimension ref="A1:W33"/>
  <sheetViews>
    <sheetView topLeftCell="B1" zoomScaleNormal="100" workbookViewId="0">
      <pane xSplit="1" ySplit="1" topLeftCell="I14" activePane="bottomRight" state="frozen"/>
      <selection activeCell="B1" sqref="B1"/>
      <selection pane="topRight" activeCell="C1" sqref="C1"/>
      <selection pane="bottomLeft" activeCell="B2" sqref="B2"/>
      <selection pane="bottomRight" activeCell="I53" sqref="H53:I53"/>
    </sheetView>
  </sheetViews>
  <sheetFormatPr defaultRowHeight="12.75" x14ac:dyDescent="0.2"/>
  <cols>
    <col min="1" max="1" width="5.5703125" style="1" bestFit="1" customWidth="1"/>
    <col min="2" max="2" width="16.5703125" style="1" bestFit="1" customWidth="1"/>
    <col min="3" max="16384" width="9.140625" style="1"/>
  </cols>
  <sheetData>
    <row r="1" spans="1:23" x14ac:dyDescent="0.2">
      <c r="A1" s="3" t="s">
        <v>19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O1" s="1">
        <v>2022</v>
      </c>
      <c r="P1" s="1">
        <f>+O1+1</f>
        <v>2023</v>
      </c>
      <c r="Q1" s="1">
        <f t="shared" ref="Q1:W1" si="0">+P1+1</f>
        <v>2024</v>
      </c>
      <c r="R1" s="1">
        <f t="shared" si="0"/>
        <v>2025</v>
      </c>
      <c r="S1" s="1">
        <f t="shared" si="0"/>
        <v>2026</v>
      </c>
      <c r="T1" s="1">
        <f t="shared" si="0"/>
        <v>2027</v>
      </c>
      <c r="U1" s="1">
        <f t="shared" si="0"/>
        <v>2028</v>
      </c>
      <c r="V1" s="1">
        <f t="shared" si="0"/>
        <v>2029</v>
      </c>
      <c r="W1" s="1">
        <f t="shared" si="0"/>
        <v>2030</v>
      </c>
    </row>
    <row r="2" spans="1:23" x14ac:dyDescent="0.2">
      <c r="B2" s="1" t="s">
        <v>18</v>
      </c>
      <c r="C2" s="2"/>
      <c r="D2" s="2"/>
      <c r="E2" s="2"/>
      <c r="F2" s="2"/>
      <c r="G2" s="2">
        <v>251.898</v>
      </c>
      <c r="H2" s="2">
        <v>261.428</v>
      </c>
      <c r="I2" s="2"/>
      <c r="J2" s="2"/>
      <c r="K2" s="2">
        <v>264.65800000000002</v>
      </c>
      <c r="L2" s="2">
        <v>270.03899999999999</v>
      </c>
      <c r="O2" s="2">
        <v>874.33199999999999</v>
      </c>
      <c r="P2" s="2">
        <v>990.87400000000002</v>
      </c>
      <c r="Q2" s="2">
        <v>1037.741</v>
      </c>
      <c r="R2" s="2"/>
      <c r="S2" s="2"/>
      <c r="T2" s="2"/>
      <c r="U2" s="2"/>
      <c r="V2" s="2"/>
      <c r="W2" s="2"/>
    </row>
    <row r="3" spans="1:23" x14ac:dyDescent="0.2">
      <c r="B3" s="1" t="s">
        <v>20</v>
      </c>
      <c r="C3" s="2"/>
      <c r="D3" s="2"/>
      <c r="E3" s="2"/>
      <c r="F3" s="2"/>
      <c r="G3" s="2">
        <v>61.651000000000003</v>
      </c>
      <c r="H3" s="2">
        <v>67.013000000000005</v>
      </c>
      <c r="I3" s="2"/>
      <c r="J3" s="2"/>
      <c r="K3" s="2">
        <v>58.524999999999999</v>
      </c>
      <c r="L3" s="2">
        <v>55.512999999999998</v>
      </c>
      <c r="O3" s="2">
        <v>249.48400000000001</v>
      </c>
      <c r="P3" s="2">
        <v>252.55600000000001</v>
      </c>
      <c r="Q3" s="2">
        <v>260.61200000000002</v>
      </c>
      <c r="R3" s="2"/>
      <c r="S3" s="2"/>
      <c r="T3" s="2"/>
      <c r="U3" s="2"/>
      <c r="V3" s="2"/>
      <c r="W3" s="2"/>
    </row>
    <row r="4" spans="1:23" x14ac:dyDescent="0.2">
      <c r="B4" s="1" t="s">
        <v>21</v>
      </c>
      <c r="C4" s="2">
        <f t="shared" ref="C4:K4" si="1">+C2-C3</f>
        <v>0</v>
      </c>
      <c r="D4" s="2">
        <f t="shared" si="1"/>
        <v>0</v>
      </c>
      <c r="E4" s="2">
        <f t="shared" si="1"/>
        <v>0</v>
      </c>
      <c r="F4" s="2">
        <f t="shared" si="1"/>
        <v>0</v>
      </c>
      <c r="G4" s="2">
        <f t="shared" si="1"/>
        <v>190.24699999999999</v>
      </c>
      <c r="H4" s="2">
        <f t="shared" si="1"/>
        <v>194.41499999999999</v>
      </c>
      <c r="I4" s="2">
        <f t="shared" si="1"/>
        <v>0</v>
      </c>
      <c r="J4" s="2">
        <f t="shared" si="1"/>
        <v>0</v>
      </c>
      <c r="K4" s="2">
        <f t="shared" si="1"/>
        <v>206.13300000000001</v>
      </c>
      <c r="L4" s="2">
        <f>+L2-L3</f>
        <v>214.52599999999998</v>
      </c>
      <c r="O4" s="2">
        <f t="shared" ref="O4" si="2">+O2-O3</f>
        <v>624.84799999999996</v>
      </c>
      <c r="P4" s="2">
        <f t="shared" ref="P4" si="3">+P2-P3</f>
        <v>738.31799999999998</v>
      </c>
      <c r="Q4" s="2">
        <f t="shared" ref="Q4" si="4">+Q2-Q3</f>
        <v>777.12899999999991</v>
      </c>
      <c r="R4" s="2">
        <f t="shared" ref="R4" si="5">+R2-R3</f>
        <v>0</v>
      </c>
      <c r="S4" s="2">
        <f t="shared" ref="S4" si="6">+S2-S3</f>
        <v>0</v>
      </c>
      <c r="T4" s="2">
        <f t="shared" ref="T4" si="7">+T2-T3</f>
        <v>0</v>
      </c>
      <c r="U4" s="2">
        <f t="shared" ref="U4" si="8">+U2-U3</f>
        <v>0</v>
      </c>
      <c r="V4" s="2">
        <f t="shared" ref="V4" si="9">+V2-V3</f>
        <v>0</v>
      </c>
      <c r="W4" s="2">
        <f t="shared" ref="W4" si="10">+W2-W3</f>
        <v>0</v>
      </c>
    </row>
    <row r="5" spans="1:23" x14ac:dyDescent="0.2">
      <c r="B5" s="1" t="s">
        <v>22</v>
      </c>
      <c r="C5" s="2"/>
      <c r="D5" s="2"/>
      <c r="E5" s="2"/>
      <c r="F5" s="2"/>
      <c r="G5" s="2">
        <v>62.518000000000001</v>
      </c>
      <c r="H5" s="2">
        <v>63.316000000000003</v>
      </c>
      <c r="I5" s="2"/>
      <c r="J5" s="2"/>
      <c r="K5" s="2">
        <v>62.673000000000002</v>
      </c>
      <c r="L5" s="2">
        <v>65.444999999999993</v>
      </c>
      <c r="O5" s="2">
        <v>218.523</v>
      </c>
      <c r="P5" s="2">
        <v>243.529</v>
      </c>
      <c r="Q5" s="2">
        <v>248.767</v>
      </c>
      <c r="R5" s="2"/>
      <c r="S5" s="2"/>
      <c r="T5" s="2"/>
      <c r="U5" s="2"/>
      <c r="V5" s="2"/>
      <c r="W5" s="2"/>
    </row>
    <row r="6" spans="1:23" x14ac:dyDescent="0.2">
      <c r="B6" s="1" t="s">
        <v>23</v>
      </c>
      <c r="C6" s="2"/>
      <c r="D6" s="2"/>
      <c r="E6" s="2"/>
      <c r="F6" s="2"/>
      <c r="G6" s="2">
        <v>86.21</v>
      </c>
      <c r="H6" s="2">
        <v>88.605000000000004</v>
      </c>
      <c r="I6" s="2"/>
      <c r="J6" s="2"/>
      <c r="K6" s="2">
        <v>92.673000000000002</v>
      </c>
      <c r="L6" s="2">
        <v>95.234999999999999</v>
      </c>
      <c r="O6" s="2">
        <v>298.63499999999999</v>
      </c>
      <c r="P6" s="2">
        <v>331.4</v>
      </c>
      <c r="Q6" s="2">
        <v>348.63799999999998</v>
      </c>
      <c r="R6" s="2"/>
      <c r="S6" s="2"/>
      <c r="T6" s="2"/>
      <c r="U6" s="2"/>
      <c r="V6" s="2"/>
      <c r="W6" s="2"/>
    </row>
    <row r="7" spans="1:23" x14ac:dyDescent="0.2">
      <c r="B7" s="1" t="s">
        <v>24</v>
      </c>
      <c r="C7" s="2"/>
      <c r="D7" s="2"/>
      <c r="E7" s="2"/>
      <c r="F7" s="2"/>
      <c r="G7" s="2">
        <v>33.183999999999997</v>
      </c>
      <c r="H7" s="2">
        <v>32.619</v>
      </c>
      <c r="I7" s="2"/>
      <c r="J7" s="2"/>
      <c r="K7" s="2">
        <v>33.052999999999997</v>
      </c>
      <c r="L7" s="2">
        <v>33.566000000000003</v>
      </c>
      <c r="O7" s="2">
        <v>135.316</v>
      </c>
      <c r="P7" s="2">
        <v>126.54900000000001</v>
      </c>
      <c r="Q7" s="2">
        <v>128.971</v>
      </c>
      <c r="R7" s="2"/>
      <c r="S7" s="2"/>
      <c r="T7" s="2"/>
      <c r="U7" s="2"/>
      <c r="V7" s="2"/>
      <c r="W7" s="2"/>
    </row>
    <row r="8" spans="1:23" x14ac:dyDescent="0.2">
      <c r="B8" s="1" t="s">
        <v>25</v>
      </c>
      <c r="C8" s="2">
        <f t="shared" ref="C8:K8" si="11">+C5+C6+C7</f>
        <v>0</v>
      </c>
      <c r="D8" s="2">
        <f t="shared" si="11"/>
        <v>0</v>
      </c>
      <c r="E8" s="2">
        <f t="shared" si="11"/>
        <v>0</v>
      </c>
      <c r="F8" s="2">
        <f t="shared" si="11"/>
        <v>0</v>
      </c>
      <c r="G8" s="2">
        <f t="shared" si="11"/>
        <v>181.91200000000001</v>
      </c>
      <c r="H8" s="2">
        <f t="shared" si="11"/>
        <v>184.54</v>
      </c>
      <c r="I8" s="2">
        <f t="shared" si="11"/>
        <v>0</v>
      </c>
      <c r="J8" s="2">
        <f t="shared" si="11"/>
        <v>0</v>
      </c>
      <c r="K8" s="2">
        <f t="shared" si="11"/>
        <v>188.399</v>
      </c>
      <c r="L8" s="2">
        <f>+L5+L6+L7</f>
        <v>194.24600000000001</v>
      </c>
      <c r="O8" s="2">
        <f t="shared" ref="O8" si="12">+O5+O6+O7</f>
        <v>652.47400000000005</v>
      </c>
      <c r="P8" s="2">
        <f t="shared" ref="P8" si="13">+P5+P6+P7</f>
        <v>701.47799999999995</v>
      </c>
      <c r="Q8" s="2">
        <f t="shared" ref="Q8" si="14">+Q5+Q6+Q7</f>
        <v>726.37599999999998</v>
      </c>
      <c r="R8" s="2">
        <f t="shared" ref="R8" si="15">+R5+R6+R7</f>
        <v>0</v>
      </c>
      <c r="S8" s="2">
        <f t="shared" ref="S8" si="16">+S5+S6+S7</f>
        <v>0</v>
      </c>
      <c r="T8" s="2">
        <f t="shared" ref="T8" si="17">+T5+T6+T7</f>
        <v>0</v>
      </c>
      <c r="U8" s="2">
        <f t="shared" ref="U8" si="18">+U5+U6+U7</f>
        <v>0</v>
      </c>
      <c r="V8" s="2">
        <f t="shared" ref="V8" si="19">+V5+V6+V7</f>
        <v>0</v>
      </c>
      <c r="W8" s="2">
        <f t="shared" ref="W8" si="20">+W5+W6+W7</f>
        <v>0</v>
      </c>
    </row>
    <row r="9" spans="1:23" x14ac:dyDescent="0.2">
      <c r="B9" s="1" t="s">
        <v>26</v>
      </c>
      <c r="C9" s="2">
        <f t="shared" ref="C9:K9" si="21">+C4-C8</f>
        <v>0</v>
      </c>
      <c r="D9" s="2">
        <f t="shared" si="21"/>
        <v>0</v>
      </c>
      <c r="E9" s="2">
        <f t="shared" si="21"/>
        <v>0</v>
      </c>
      <c r="F9" s="2">
        <f t="shared" si="21"/>
        <v>0</v>
      </c>
      <c r="G9" s="2">
        <f t="shared" si="21"/>
        <v>8.3349999999999795</v>
      </c>
      <c r="H9" s="2">
        <f t="shared" si="21"/>
        <v>9.875</v>
      </c>
      <c r="I9" s="2">
        <f t="shared" si="21"/>
        <v>0</v>
      </c>
      <c r="J9" s="2">
        <f t="shared" si="21"/>
        <v>0</v>
      </c>
      <c r="K9" s="2">
        <f t="shared" si="21"/>
        <v>17.734000000000009</v>
      </c>
      <c r="L9" s="2">
        <f>+L4-L8</f>
        <v>20.279999999999973</v>
      </c>
      <c r="O9" s="2">
        <f t="shared" ref="O9" si="22">+O4-O8</f>
        <v>-27.62600000000009</v>
      </c>
      <c r="P9" s="2">
        <f t="shared" ref="P9" si="23">+P4-P8</f>
        <v>36.840000000000032</v>
      </c>
      <c r="Q9" s="2">
        <f t="shared" ref="Q9" si="24">+Q4-Q8</f>
        <v>50.752999999999929</v>
      </c>
      <c r="R9" s="2">
        <f t="shared" ref="R9" si="25">+R4-R8</f>
        <v>0</v>
      </c>
      <c r="S9" s="2">
        <f t="shared" ref="S9" si="26">+S4-S8</f>
        <v>0</v>
      </c>
      <c r="T9" s="2">
        <f t="shared" ref="T9" si="27">+T4-T8</f>
        <v>0</v>
      </c>
      <c r="U9" s="2">
        <f t="shared" ref="U9" si="28">+U4-U8</f>
        <v>0</v>
      </c>
      <c r="V9" s="2">
        <f t="shared" ref="V9" si="29">+V4-V8</f>
        <v>0</v>
      </c>
      <c r="W9" s="2">
        <f t="shared" ref="W9" si="30">+W4-W8</f>
        <v>0</v>
      </c>
    </row>
    <row r="10" spans="1:23" x14ac:dyDescent="0.2">
      <c r="B10" s="1" t="s">
        <v>27</v>
      </c>
      <c r="C10" s="2"/>
      <c r="D10" s="2"/>
      <c r="E10" s="2"/>
      <c r="F10" s="2"/>
      <c r="G10" s="2">
        <v>2.3180000000000001</v>
      </c>
      <c r="H10" s="2">
        <v>3.2930000000000001</v>
      </c>
      <c r="I10" s="2"/>
      <c r="J10" s="2"/>
      <c r="K10" s="2">
        <v>3.8580000000000001</v>
      </c>
      <c r="L10" s="2">
        <v>4.6989999999999998</v>
      </c>
      <c r="O10" s="2">
        <v>-9.8379999999999992</v>
      </c>
      <c r="P10" s="2">
        <v>-2.4329999999999998</v>
      </c>
      <c r="Q10" s="2">
        <v>11.833</v>
      </c>
      <c r="R10" s="2"/>
      <c r="S10" s="2"/>
      <c r="T10" s="2"/>
      <c r="U10" s="2"/>
      <c r="V10" s="2"/>
      <c r="W10" s="2"/>
    </row>
    <row r="11" spans="1:23" x14ac:dyDescent="0.2">
      <c r="B11" s="1" t="s">
        <v>28</v>
      </c>
      <c r="C11" s="2">
        <f t="shared" ref="C11:K11" si="31">+C9+C10</f>
        <v>0</v>
      </c>
      <c r="D11" s="2">
        <f t="shared" si="31"/>
        <v>0</v>
      </c>
      <c r="E11" s="2">
        <f t="shared" si="31"/>
        <v>0</v>
      </c>
      <c r="F11" s="2">
        <f t="shared" si="31"/>
        <v>0</v>
      </c>
      <c r="G11" s="2">
        <f t="shared" si="31"/>
        <v>10.652999999999979</v>
      </c>
      <c r="H11" s="2">
        <f t="shared" si="31"/>
        <v>13.167999999999999</v>
      </c>
      <c r="I11" s="2">
        <f t="shared" si="31"/>
        <v>0</v>
      </c>
      <c r="J11" s="2">
        <f t="shared" si="31"/>
        <v>0</v>
      </c>
      <c r="K11" s="2">
        <f t="shared" si="31"/>
        <v>21.592000000000009</v>
      </c>
      <c r="L11" s="2">
        <f>+L9+L10</f>
        <v>24.978999999999971</v>
      </c>
      <c r="O11" s="2">
        <f t="shared" ref="O11" si="32">+O9+O10</f>
        <v>-37.464000000000091</v>
      </c>
      <c r="P11" s="2">
        <f t="shared" ref="P11" si="33">+P9+P10</f>
        <v>34.407000000000032</v>
      </c>
      <c r="Q11" s="2">
        <f t="shared" ref="Q11" si="34">+Q9+Q10</f>
        <v>62.585999999999927</v>
      </c>
      <c r="R11" s="2">
        <f t="shared" ref="R11" si="35">+R9+R10</f>
        <v>0</v>
      </c>
      <c r="S11" s="2">
        <f t="shared" ref="S11" si="36">+S9+S10</f>
        <v>0</v>
      </c>
      <c r="T11" s="2">
        <f t="shared" ref="T11" si="37">+T9+T10</f>
        <v>0</v>
      </c>
      <c r="U11" s="2">
        <f t="shared" ref="U11" si="38">+U9+U10</f>
        <v>0</v>
      </c>
      <c r="V11" s="2">
        <f t="shared" ref="V11" si="39">+V9+V10</f>
        <v>0</v>
      </c>
      <c r="W11" s="2">
        <f t="shared" ref="W11" si="40">+W9+W10</f>
        <v>0</v>
      </c>
    </row>
    <row r="12" spans="1:23" x14ac:dyDescent="0.2">
      <c r="B12" s="1" t="s">
        <v>29</v>
      </c>
      <c r="C12" s="2"/>
      <c r="D12" s="2"/>
      <c r="E12" s="2"/>
      <c r="F12" s="2"/>
      <c r="G12" s="2">
        <v>2.3029999999999999</v>
      </c>
      <c r="H12" s="2">
        <v>2.3769999999999998</v>
      </c>
      <c r="I12" s="2"/>
      <c r="J12" s="2"/>
      <c r="K12" s="2">
        <v>4.6429999999999998</v>
      </c>
      <c r="L12" s="2">
        <v>4.4829999999999997</v>
      </c>
      <c r="O12" s="2">
        <v>3.9950000000000001</v>
      </c>
      <c r="P12" s="2">
        <v>7.6239999999999997</v>
      </c>
      <c r="Q12" s="2">
        <v>-66.445999999999998</v>
      </c>
      <c r="R12" s="2"/>
      <c r="S12" s="2"/>
      <c r="T12" s="2"/>
      <c r="U12" s="2"/>
      <c r="V12" s="2"/>
      <c r="W12" s="2"/>
    </row>
    <row r="13" spans="1:23" x14ac:dyDescent="0.2">
      <c r="B13" s="1" t="s">
        <v>30</v>
      </c>
      <c r="C13" s="2">
        <f t="shared" ref="C13:K13" si="41">+C11-C12</f>
        <v>0</v>
      </c>
      <c r="D13" s="2">
        <f t="shared" si="41"/>
        <v>0</v>
      </c>
      <c r="E13" s="2">
        <f t="shared" si="41"/>
        <v>0</v>
      </c>
      <c r="F13" s="2">
        <f t="shared" si="41"/>
        <v>0</v>
      </c>
      <c r="G13" s="2">
        <f t="shared" si="41"/>
        <v>8.3499999999999801</v>
      </c>
      <c r="H13" s="2">
        <f t="shared" si="41"/>
        <v>10.791</v>
      </c>
      <c r="I13" s="2">
        <f t="shared" si="41"/>
        <v>0</v>
      </c>
      <c r="J13" s="2">
        <f t="shared" si="41"/>
        <v>0</v>
      </c>
      <c r="K13" s="2">
        <f t="shared" si="41"/>
        <v>16.949000000000009</v>
      </c>
      <c r="L13" s="2">
        <f>+L11-L12</f>
        <v>20.49599999999997</v>
      </c>
      <c r="O13" s="2">
        <f t="shared" ref="O13" si="42">+O11-O12</f>
        <v>-41.459000000000088</v>
      </c>
      <c r="P13" s="2">
        <f t="shared" ref="P13" si="43">+P11-P12</f>
        <v>26.783000000000033</v>
      </c>
      <c r="Q13" s="2">
        <f t="shared" ref="Q13" si="44">+Q11-Q12</f>
        <v>129.03199999999993</v>
      </c>
      <c r="R13" s="2">
        <f t="shared" ref="R13" si="45">+R11-R12</f>
        <v>0</v>
      </c>
      <c r="S13" s="2">
        <f t="shared" ref="S13" si="46">+S11-S12</f>
        <v>0</v>
      </c>
      <c r="T13" s="2">
        <f t="shared" ref="T13" si="47">+T11-T12</f>
        <v>0</v>
      </c>
      <c r="U13" s="2">
        <f t="shared" ref="U13" si="48">+U11-U12</f>
        <v>0</v>
      </c>
      <c r="V13" s="2">
        <f t="shared" ref="V13" si="49">+V11-V12</f>
        <v>0</v>
      </c>
      <c r="W13" s="2">
        <f t="shared" ref="W13" si="50">+W11-W12</f>
        <v>0</v>
      </c>
    </row>
    <row r="14" spans="1:23" x14ac:dyDescent="0.2">
      <c r="B14" s="1" t="s">
        <v>31</v>
      </c>
      <c r="C14" s="2"/>
      <c r="D14" s="2"/>
      <c r="E14" s="2"/>
      <c r="F14" s="2"/>
      <c r="G14" s="2">
        <v>150.43600000000001</v>
      </c>
      <c r="H14" s="2">
        <v>150.00700000000001</v>
      </c>
      <c r="I14" s="2"/>
      <c r="J14" s="2"/>
      <c r="K14" s="2">
        <v>148.75700000000001</v>
      </c>
      <c r="L14" s="2">
        <v>146.52500000000001</v>
      </c>
      <c r="O14" s="2">
        <v>155.59800000000001</v>
      </c>
      <c r="P14" s="2">
        <v>150.19200000000001</v>
      </c>
      <c r="Q14" s="2">
        <v>148.58600000000001</v>
      </c>
      <c r="R14" s="2"/>
      <c r="S14" s="2"/>
      <c r="T14" s="2"/>
      <c r="U14" s="2"/>
      <c r="V14" s="2"/>
      <c r="W14" s="2"/>
    </row>
    <row r="15" spans="1:23" x14ac:dyDescent="0.2">
      <c r="B15" s="1" t="s">
        <v>32</v>
      </c>
      <c r="C15" s="4" t="e">
        <f t="shared" ref="C15:K15" si="51">+C13/C14</f>
        <v>#DIV/0!</v>
      </c>
      <c r="D15" s="4" t="e">
        <f t="shared" si="51"/>
        <v>#DIV/0!</v>
      </c>
      <c r="E15" s="4" t="e">
        <f t="shared" si="51"/>
        <v>#DIV/0!</v>
      </c>
      <c r="F15" s="4" t="e">
        <f t="shared" si="51"/>
        <v>#DIV/0!</v>
      </c>
      <c r="G15" s="4">
        <f t="shared" si="51"/>
        <v>5.5505331170730275E-2</v>
      </c>
      <c r="H15" s="4">
        <f t="shared" si="51"/>
        <v>7.1936642956662022E-2</v>
      </c>
      <c r="I15" s="4" t="e">
        <f t="shared" si="51"/>
        <v>#DIV/0!</v>
      </c>
      <c r="J15" s="4" t="e">
        <f t="shared" si="51"/>
        <v>#DIV/0!</v>
      </c>
      <c r="K15" s="4">
        <f t="shared" si="51"/>
        <v>0.11393749537836881</v>
      </c>
      <c r="L15" s="4">
        <f>+L13/L14</f>
        <v>0.13988056645623592</v>
      </c>
      <c r="O15" s="4">
        <f t="shared" ref="O15" si="52">+O13/O14</f>
        <v>-0.26644944022416794</v>
      </c>
      <c r="P15" s="4">
        <f t="shared" ref="P15" si="53">+P13/P14</f>
        <v>0.17832507723447341</v>
      </c>
      <c r="Q15" s="4">
        <f t="shared" ref="Q15" si="54">+Q13/Q14</f>
        <v>0.86839944543900449</v>
      </c>
      <c r="R15" s="4" t="e">
        <f t="shared" ref="R15" si="55">+R13/R14</f>
        <v>#DIV/0!</v>
      </c>
      <c r="S15" s="4" t="e">
        <f t="shared" ref="S15" si="56">+S13/S14</f>
        <v>#DIV/0!</v>
      </c>
      <c r="T15" s="4" t="e">
        <f t="shared" ref="T15" si="57">+T13/T14</f>
        <v>#DIV/0!</v>
      </c>
      <c r="U15" s="4" t="e">
        <f t="shared" ref="U15" si="58">+U13/U14</f>
        <v>#DIV/0!</v>
      </c>
      <c r="V15" s="4" t="e">
        <f t="shared" ref="V15" si="59">+V13/V14</f>
        <v>#DIV/0!</v>
      </c>
      <c r="W15" s="4" t="e">
        <f t="shared" ref="W15" si="60">+W13/W14</f>
        <v>#DIV/0!</v>
      </c>
    </row>
    <row r="16" spans="1:23" x14ac:dyDescent="0.2">
      <c r="C16" s="2"/>
      <c r="D16" s="2"/>
      <c r="E16" s="2"/>
      <c r="F16" s="2"/>
      <c r="G16" s="2"/>
      <c r="H16" s="2"/>
      <c r="I16" s="2"/>
      <c r="J16" s="2"/>
      <c r="K16" s="2"/>
      <c r="L16" s="2"/>
      <c r="O16" s="2"/>
      <c r="P16" s="2"/>
      <c r="Q16" s="2"/>
      <c r="R16" s="2"/>
      <c r="S16" s="2"/>
      <c r="T16" s="2"/>
      <c r="U16" s="2"/>
      <c r="V16" s="2"/>
      <c r="W16" s="2"/>
    </row>
    <row r="17" spans="2:23" x14ac:dyDescent="0.2">
      <c r="B17" s="1" t="s">
        <v>18</v>
      </c>
      <c r="C17" s="2"/>
      <c r="D17" s="2"/>
      <c r="E17" s="2"/>
      <c r="F17" s="2"/>
      <c r="G17" s="2"/>
      <c r="H17" s="2"/>
      <c r="I17" s="2"/>
      <c r="J17" s="2"/>
      <c r="K17" s="6">
        <f t="shared" ref="K17" si="61">+K2/G2-1</f>
        <v>5.0655424020833895E-2</v>
      </c>
      <c r="L17" s="6">
        <f>+L2/H2-1</f>
        <v>3.2938323362455391E-2</v>
      </c>
      <c r="O17" s="6"/>
      <c r="P17" s="6">
        <f t="shared" ref="P17:Q17" si="62">+P2/O2-1</f>
        <v>0.13329261653468016</v>
      </c>
      <c r="Q17" s="6">
        <f>+Q2/P2-1</f>
        <v>4.7298647456689658E-2</v>
      </c>
      <c r="R17" s="6"/>
      <c r="S17" s="6"/>
      <c r="T17" s="6"/>
      <c r="U17" s="6"/>
      <c r="V17" s="6"/>
      <c r="W17" s="6"/>
    </row>
    <row r="18" spans="2:23" x14ac:dyDescent="0.2">
      <c r="C18" s="2"/>
      <c r="D18" s="2"/>
      <c r="E18" s="2"/>
      <c r="F18" s="2"/>
      <c r="G18" s="2"/>
      <c r="H18" s="2"/>
      <c r="I18" s="2"/>
      <c r="J18" s="2"/>
      <c r="K18" s="2"/>
      <c r="L18" s="2"/>
      <c r="O18" s="2"/>
      <c r="P18" s="2"/>
      <c r="Q18" s="2"/>
      <c r="R18" s="2"/>
      <c r="S18" s="2"/>
      <c r="T18" s="2"/>
      <c r="U18" s="2"/>
      <c r="V18" s="2"/>
      <c r="W18" s="2"/>
    </row>
    <row r="19" spans="2:23" x14ac:dyDescent="0.2">
      <c r="B19" s="1" t="s">
        <v>33</v>
      </c>
      <c r="C19" s="2"/>
      <c r="D19" s="2"/>
      <c r="E19" s="2"/>
      <c r="F19" s="2"/>
      <c r="G19" s="2">
        <v>124.93</v>
      </c>
      <c r="H19" s="2">
        <f>157.606-G19</f>
        <v>32.675999999999988</v>
      </c>
      <c r="I19" s="2"/>
      <c r="J19" s="2"/>
      <c r="K19" s="2">
        <v>131.20400000000001</v>
      </c>
      <c r="L19" s="2">
        <f>167.502-K19</f>
        <v>36.298000000000002</v>
      </c>
      <c r="O19" s="2">
        <v>234.81800000000001</v>
      </c>
      <c r="P19" s="2">
        <v>297.98200000000003</v>
      </c>
      <c r="Q19" s="2">
        <v>318.72699999999998</v>
      </c>
      <c r="R19" s="2"/>
      <c r="S19" s="2"/>
      <c r="T19" s="2"/>
      <c r="U19" s="2"/>
      <c r="V19" s="2"/>
      <c r="W19" s="2"/>
    </row>
    <row r="20" spans="2:23" x14ac:dyDescent="0.2">
      <c r="B20" s="1" t="s">
        <v>34</v>
      </c>
      <c r="C20" s="2"/>
      <c r="D20" s="2"/>
      <c r="E20" s="2"/>
      <c r="F20" s="2"/>
      <c r="G20" s="2">
        <f>2.952+3.833</f>
        <v>6.7850000000000001</v>
      </c>
      <c r="H20" s="2">
        <f>2+8.377-G20</f>
        <v>3.5920000000000005</v>
      </c>
      <c r="I20" s="2"/>
      <c r="J20" s="2"/>
      <c r="K20" s="2">
        <f>1.276+5.564</f>
        <v>6.84</v>
      </c>
      <c r="L20" s="2">
        <f>1.674+11.677-K20</f>
        <v>6.5109999999999992</v>
      </c>
      <c r="O20" s="2">
        <f>4.702+5.785</f>
        <v>10.487</v>
      </c>
      <c r="P20" s="2">
        <f>4.433+12.064</f>
        <v>16.497</v>
      </c>
      <c r="Q20" s="2">
        <f>1.843+16.561</f>
        <v>18.404</v>
      </c>
      <c r="R20" s="2"/>
      <c r="S20" s="2"/>
      <c r="T20" s="2"/>
      <c r="U20" s="2"/>
      <c r="V20" s="2"/>
      <c r="W20" s="2"/>
    </row>
    <row r="21" spans="2:23" x14ac:dyDescent="0.2">
      <c r="B21" s="7" t="s">
        <v>35</v>
      </c>
      <c r="C21" s="8">
        <f t="shared" ref="C21:K21" si="63">+C19-C20</f>
        <v>0</v>
      </c>
      <c r="D21" s="8">
        <f t="shared" si="63"/>
        <v>0</v>
      </c>
      <c r="E21" s="8">
        <f t="shared" si="63"/>
        <v>0</v>
      </c>
      <c r="F21" s="8">
        <f t="shared" si="63"/>
        <v>0</v>
      </c>
      <c r="G21" s="8">
        <f t="shared" si="63"/>
        <v>118.14500000000001</v>
      </c>
      <c r="H21" s="8">
        <f t="shared" si="63"/>
        <v>29.083999999999989</v>
      </c>
      <c r="I21" s="8">
        <f t="shared" si="63"/>
        <v>0</v>
      </c>
      <c r="J21" s="8">
        <f t="shared" si="63"/>
        <v>0</v>
      </c>
      <c r="K21" s="8">
        <f t="shared" si="63"/>
        <v>124.364</v>
      </c>
      <c r="L21" s="8">
        <f>+L19-L20</f>
        <v>29.787000000000003</v>
      </c>
      <c r="O21" s="8">
        <f t="shared" ref="O21" si="64">+O19-O20</f>
        <v>224.33100000000002</v>
      </c>
      <c r="P21" s="8">
        <f t="shared" ref="P21" si="65">+P19-P20</f>
        <v>281.48500000000001</v>
      </c>
      <c r="Q21" s="8">
        <f t="shared" ref="Q21" si="66">+Q19-Q20</f>
        <v>300.32299999999998</v>
      </c>
      <c r="R21" s="8">
        <f t="shared" ref="R21" si="67">+R19-R20</f>
        <v>0</v>
      </c>
      <c r="S21" s="8">
        <f t="shared" ref="S21" si="68">+S19-S20</f>
        <v>0</v>
      </c>
      <c r="T21" s="8">
        <f t="shared" ref="T21" si="69">+T19-T20</f>
        <v>0</v>
      </c>
      <c r="U21" s="8">
        <f t="shared" ref="U21" si="70">+U19-U20</f>
        <v>0</v>
      </c>
      <c r="V21" s="8">
        <f t="shared" ref="V21" si="71">+V19-V20</f>
        <v>0</v>
      </c>
      <c r="W21" s="8">
        <f t="shared" ref="W21" si="72">+W19-W20</f>
        <v>0</v>
      </c>
    </row>
    <row r="22" spans="2:23" x14ac:dyDescent="0.2">
      <c r="B22" s="1" t="s">
        <v>36</v>
      </c>
      <c r="P22" s="6">
        <f t="shared" ref="P22" si="73">+P21/O21-1</f>
        <v>0.25477530969861495</v>
      </c>
      <c r="Q22" s="6">
        <f>+Q21/P21-1</f>
        <v>6.6923637138746273E-2</v>
      </c>
    </row>
    <row r="24" spans="2:23" x14ac:dyDescent="0.2">
      <c r="B24" s="1" t="s">
        <v>37</v>
      </c>
      <c r="C24" s="2"/>
      <c r="D24" s="2"/>
      <c r="E24" s="2"/>
      <c r="F24" s="2"/>
      <c r="G24" s="2">
        <v>32.134</v>
      </c>
      <c r="H24" s="2">
        <f>104.906-G24</f>
        <v>72.772000000000006</v>
      </c>
      <c r="I24" s="2"/>
      <c r="J24" s="2"/>
      <c r="K24" s="2">
        <v>42.371000000000002</v>
      </c>
      <c r="L24" s="2">
        <f>138.686-K24</f>
        <v>96.314999999999998</v>
      </c>
      <c r="O24" s="2">
        <v>561.57100000000003</v>
      </c>
      <c r="P24" s="2">
        <v>274.17200000000003</v>
      </c>
      <c r="Q24" s="2">
        <v>177.131</v>
      </c>
    </row>
    <row r="25" spans="2:23" x14ac:dyDescent="0.2">
      <c r="B25" s="1" t="s">
        <v>38</v>
      </c>
      <c r="C25" s="2"/>
      <c r="D25" s="2"/>
      <c r="E25" s="2"/>
      <c r="F25" s="2"/>
      <c r="G25" s="2">
        <v>47.277000000000001</v>
      </c>
      <c r="H25" s="2">
        <f>100.623-G25</f>
        <v>53.346000000000004</v>
      </c>
      <c r="I25" s="2"/>
      <c r="J25" s="2"/>
      <c r="K25" s="2">
        <v>51.161999999999999</v>
      </c>
      <c r="L25" s="2">
        <f>106.723-K25</f>
        <v>55.561</v>
      </c>
      <c r="O25" s="2">
        <v>178.97399999999999</v>
      </c>
      <c r="P25" s="2">
        <v>185.63200000000001</v>
      </c>
      <c r="Q25" s="2">
        <v>198.78299999999999</v>
      </c>
    </row>
    <row r="27" spans="2:23" x14ac:dyDescent="0.2">
      <c r="B27" s="1" t="s">
        <v>39</v>
      </c>
      <c r="C27" s="2"/>
      <c r="D27" s="2"/>
      <c r="E27" s="2"/>
      <c r="F27" s="2"/>
      <c r="G27" s="2"/>
      <c r="H27" s="2">
        <f>383.742+96.948-370.822</f>
        <v>109.86799999999999</v>
      </c>
      <c r="I27" s="2"/>
      <c r="J27" s="2"/>
      <c r="K27" s="2"/>
      <c r="L27" s="2">
        <f>406.62+75.605-371.824</f>
        <v>110.40100000000001</v>
      </c>
    </row>
    <row r="29" spans="2:23" x14ac:dyDescent="0.2">
      <c r="B29" s="1" t="s">
        <v>40</v>
      </c>
      <c r="G29" s="5">
        <v>1.06</v>
      </c>
      <c r="H29" s="5">
        <v>1.03</v>
      </c>
      <c r="K29" s="5">
        <v>1.01</v>
      </c>
      <c r="L29" s="5">
        <v>1.02</v>
      </c>
      <c r="P29" s="5">
        <v>1.08</v>
      </c>
      <c r="Q29" s="5">
        <v>1.01</v>
      </c>
    </row>
    <row r="31" spans="2:23" x14ac:dyDescent="0.2">
      <c r="B31" s="1" t="s">
        <v>41</v>
      </c>
      <c r="K31" s="6">
        <f t="shared" ref="K31:K33" si="74">+K5/G5-1</f>
        <v>2.479285965641953E-3</v>
      </c>
      <c r="L31" s="6">
        <f>+L5/H5-1</f>
        <v>3.362499210310177E-2</v>
      </c>
      <c r="P31" s="6">
        <f t="shared" ref="P31:Q31" si="75">+P5/O5-1</f>
        <v>0.11443189046461932</v>
      </c>
      <c r="Q31" s="6">
        <f>+Q5/P5-1</f>
        <v>2.1508732019595245E-2</v>
      </c>
    </row>
    <row r="32" spans="2:23" x14ac:dyDescent="0.2">
      <c r="B32" s="1" t="s">
        <v>42</v>
      </c>
      <c r="K32" s="6">
        <f t="shared" si="74"/>
        <v>7.4968101148358723E-2</v>
      </c>
      <c r="L32" s="6">
        <f t="shared" ref="L32:L33" si="76">+L6/H6-1</f>
        <v>7.4826477061113783E-2</v>
      </c>
      <c r="P32" s="6">
        <f t="shared" ref="P32:Q32" si="77">+P6/O6-1</f>
        <v>0.10971587389287918</v>
      </c>
      <c r="Q32" s="6">
        <f t="shared" si="77"/>
        <v>5.2015691007845533E-2</v>
      </c>
    </row>
    <row r="33" spans="2:17" x14ac:dyDescent="0.2">
      <c r="B33" s="1" t="s">
        <v>43</v>
      </c>
      <c r="K33" s="6">
        <f t="shared" si="74"/>
        <v>-3.9476856316297271E-3</v>
      </c>
      <c r="L33" s="6">
        <f t="shared" si="76"/>
        <v>2.903215917103541E-2</v>
      </c>
      <c r="P33" s="6">
        <f t="shared" ref="P33:Q33" si="78">+P7/O7-1</f>
        <v>-6.47890862869136E-2</v>
      </c>
      <c r="Q33" s="6">
        <f t="shared" si="78"/>
        <v>1.9138831598827233E-2</v>
      </c>
    </row>
  </sheetData>
  <hyperlinks>
    <hyperlink ref="A1" location="main!A1" display="main" xr:uid="{093BBB60-AB4D-44D4-B449-E06E7BF653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alexandreduartemorais@gmail.com</dc:creator>
  <cp:lastModifiedBy>alexandreduartemorais@gmail.com</cp:lastModifiedBy>
  <dcterms:created xsi:type="dcterms:W3CDTF">2024-09-08T10:36:08Z</dcterms:created>
  <dcterms:modified xsi:type="dcterms:W3CDTF">2024-09-08T11:04:28Z</dcterms:modified>
</cp:coreProperties>
</file>