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hdisegutl-my.sharepoint.com/personal/l59357_aln_iseg_ulisboa_pt/Documents/Models/"/>
    </mc:Choice>
  </mc:AlternateContent>
  <xr:revisionPtr revIDLastSave="688" documentId="8_{CDFBFBC8-286C-47E1-AF65-CF130AD6F32D}" xr6:coauthVersionLast="47" xr6:coauthVersionMax="47" xr10:uidLastSave="{2AD190E8-263B-4A56-89A2-CF893E30144F}"/>
  <bookViews>
    <workbookView xWindow="-108" yWindow="-108" windowWidth="23256" windowHeight="12456" activeTab="1" xr2:uid="{592590EB-FD94-4542-96F2-5FC561958FD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U7" i="2"/>
  <c r="V7" i="2" s="1"/>
  <c r="W7" i="2" s="1"/>
  <c r="X7" i="2" s="1"/>
  <c r="Y7" i="2" s="1"/>
  <c r="Z7" i="2" s="1"/>
  <c r="T7" i="2"/>
  <c r="K68" i="2"/>
  <c r="J68" i="2"/>
  <c r="L68" i="2" l="1"/>
  <c r="B2" i="1" a="1"/>
  <c r="B2" i="1" s="1"/>
  <c r="B4" i="1" s="1"/>
  <c r="B7" i="1" s="1"/>
  <c r="U10" i="2"/>
  <c r="V10" i="2" s="1"/>
  <c r="W10" i="2" s="1"/>
  <c r="X10" i="2" s="1"/>
  <c r="Y10" i="2" s="1"/>
  <c r="Z10" i="2" s="1"/>
  <c r="T10" i="2"/>
  <c r="J5" i="2"/>
  <c r="J4" i="2"/>
  <c r="J3" i="2"/>
  <c r="J2" i="2"/>
  <c r="J64" i="2"/>
  <c r="J65" i="2"/>
  <c r="J53" i="2"/>
  <c r="J57" i="2"/>
  <c r="J63" i="2"/>
  <c r="J67" i="2"/>
  <c r="I65" i="2"/>
  <c r="I64" i="2"/>
  <c r="I63" i="2"/>
  <c r="I62" i="2"/>
  <c r="I60" i="2"/>
  <c r="I59" i="2"/>
  <c r="I67" i="2"/>
  <c r="I57" i="2"/>
  <c r="I56" i="2"/>
  <c r="I55" i="2"/>
  <c r="I52" i="2"/>
  <c r="I46" i="2"/>
  <c r="I47" i="2"/>
  <c r="I48" i="2"/>
  <c r="I49" i="2"/>
  <c r="I50" i="2"/>
  <c r="I51" i="2"/>
  <c r="I53" i="2"/>
  <c r="I44" i="2"/>
  <c r="I43" i="2"/>
  <c r="I42" i="2"/>
  <c r="I41" i="2"/>
  <c r="I40" i="2"/>
  <c r="I39" i="2"/>
  <c r="I38" i="2"/>
  <c r="I37" i="2"/>
  <c r="I36" i="2"/>
  <c r="I35" i="2"/>
  <c r="I34" i="2"/>
  <c r="I32" i="2"/>
  <c r="E31" i="2"/>
  <c r="I31" i="2"/>
  <c r="I26" i="2"/>
  <c r="I25" i="2"/>
  <c r="I24" i="2"/>
  <c r="I23" i="2"/>
  <c r="I22" i="2"/>
  <c r="E7" i="2"/>
  <c r="E9" i="2" s="1"/>
  <c r="E11" i="2" s="1"/>
  <c r="I7" i="2"/>
  <c r="I9" i="2" s="1"/>
  <c r="I11" i="2" s="1"/>
  <c r="E12" i="2"/>
  <c r="I17" i="2"/>
  <c r="I12" i="2"/>
  <c r="AC6" i="2"/>
  <c r="T12" i="2"/>
  <c r="U23" i="2"/>
  <c r="T23" i="2"/>
  <c r="T22" i="2"/>
  <c r="T5" i="2"/>
  <c r="T25" i="2" s="1"/>
  <c r="U4" i="2"/>
  <c r="V4" i="2" s="1"/>
  <c r="W4" i="2" s="1"/>
  <c r="X4" i="2" s="1"/>
  <c r="Y4" i="2" s="1"/>
  <c r="Z4" i="2" s="1"/>
  <c r="Z24" i="2" s="1"/>
  <c r="T4" i="2"/>
  <c r="U3" i="2"/>
  <c r="V3" i="2" s="1"/>
  <c r="W3" i="2" s="1"/>
  <c r="X3" i="2" s="1"/>
  <c r="Y3" i="2" s="1"/>
  <c r="Z3" i="2" s="1"/>
  <c r="Z23" i="2" s="1"/>
  <c r="T3" i="2"/>
  <c r="T2" i="2"/>
  <c r="U2" i="2" s="1"/>
  <c r="V2" i="2" s="1"/>
  <c r="R63" i="2"/>
  <c r="Q63" i="2"/>
  <c r="S63" i="2"/>
  <c r="R57" i="2"/>
  <c r="Q57" i="2"/>
  <c r="S57" i="2"/>
  <c r="S17" i="2"/>
  <c r="Q12" i="2"/>
  <c r="R12" i="2"/>
  <c r="S12" i="2"/>
  <c r="R22" i="2"/>
  <c r="S25" i="2"/>
  <c r="R25" i="2"/>
  <c r="S24" i="2"/>
  <c r="R24" i="2"/>
  <c r="S23" i="2"/>
  <c r="R23" i="2"/>
  <c r="S22" i="2"/>
  <c r="R7" i="2"/>
  <c r="R9" i="2" s="1"/>
  <c r="R11" i="2" s="1"/>
  <c r="R29" i="2" s="1"/>
  <c r="Q7" i="2"/>
  <c r="Q9" i="2" s="1"/>
  <c r="Q11" i="2" s="1"/>
  <c r="S7" i="2"/>
  <c r="S9" i="2" s="1"/>
  <c r="S11" i="2" s="1"/>
  <c r="S29" i="2" s="1"/>
  <c r="S1" i="2"/>
  <c r="T1" i="2" s="1"/>
  <c r="U1" i="2" s="1"/>
  <c r="V1" i="2" s="1"/>
  <c r="W1" i="2" s="1"/>
  <c r="X1" i="2" s="1"/>
  <c r="Y1" i="2" s="1"/>
  <c r="Z1" i="2" s="1"/>
  <c r="R1" i="2"/>
  <c r="K22" i="2"/>
  <c r="K25" i="2"/>
  <c r="K24" i="2"/>
  <c r="K23" i="2"/>
  <c r="L25" i="2"/>
  <c r="L24" i="2"/>
  <c r="L23" i="2"/>
  <c r="L22" i="2"/>
  <c r="L7" i="2"/>
  <c r="H64" i="2"/>
  <c r="G63" i="2"/>
  <c r="L64" i="2"/>
  <c r="K63" i="2"/>
  <c r="K57" i="2"/>
  <c r="K26" i="2"/>
  <c r="G17" i="2"/>
  <c r="G12" i="2"/>
  <c r="K17" i="2"/>
  <c r="K12" i="2"/>
  <c r="L84" i="2"/>
  <c r="L69" i="2"/>
  <c r="L98" i="2"/>
  <c r="H39" i="2"/>
  <c r="L39" i="2"/>
  <c r="H62" i="2"/>
  <c r="H60" i="2"/>
  <c r="H59" i="2"/>
  <c r="H56" i="2"/>
  <c r="H55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8" i="2"/>
  <c r="H37" i="2"/>
  <c r="H36" i="2"/>
  <c r="H35" i="2"/>
  <c r="H34" i="2"/>
  <c r="H32" i="2"/>
  <c r="L62" i="2"/>
  <c r="L60" i="2"/>
  <c r="L59" i="2"/>
  <c r="L56" i="2"/>
  <c r="L57" i="2" s="1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8" i="2"/>
  <c r="L37" i="2"/>
  <c r="L36" i="2"/>
  <c r="L35" i="2"/>
  <c r="L34" i="2"/>
  <c r="L32" i="2"/>
  <c r="H26" i="2"/>
  <c r="L26" i="2"/>
  <c r="H17" i="2"/>
  <c r="L17" i="2"/>
  <c r="H12" i="2"/>
  <c r="K9" i="2"/>
  <c r="K11" i="2" s="1"/>
  <c r="K29" i="2" s="1"/>
  <c r="J9" i="2"/>
  <c r="J11" i="2" s="1"/>
  <c r="J14" i="2" s="1"/>
  <c r="J16" i="2" s="1"/>
  <c r="J18" i="2" s="1"/>
  <c r="J20" i="2" s="1"/>
  <c r="H9" i="2"/>
  <c r="H11" i="2" s="1"/>
  <c r="H29" i="2" s="1"/>
  <c r="G9" i="2"/>
  <c r="G11" i="2" s="1"/>
  <c r="G29" i="2" s="1"/>
  <c r="F9" i="2"/>
  <c r="F11" i="2" s="1"/>
  <c r="D9" i="2"/>
  <c r="D11" i="2" s="1"/>
  <c r="D14" i="2" s="1"/>
  <c r="D16" i="2" s="1"/>
  <c r="D18" i="2" s="1"/>
  <c r="D20" i="2" s="1"/>
  <c r="C9" i="2"/>
  <c r="C11" i="2" s="1"/>
  <c r="C14" i="2" s="1"/>
  <c r="C16" i="2" s="1"/>
  <c r="C18" i="2" s="1"/>
  <c r="C20" i="2" s="1"/>
  <c r="L9" i="2"/>
  <c r="L11" i="2" s="1"/>
  <c r="L14" i="2" s="1"/>
  <c r="L16" i="2" s="1"/>
  <c r="L18" i="2" s="1"/>
  <c r="L20" i="2" s="1"/>
  <c r="E14" i="2" l="1"/>
  <c r="E16" i="2" s="1"/>
  <c r="E18" i="2" s="1"/>
  <c r="E20" i="2" s="1"/>
  <c r="T8" i="2"/>
  <c r="T9" i="2" s="1"/>
  <c r="T26" i="2"/>
  <c r="T24" i="2"/>
  <c r="V24" i="2"/>
  <c r="U5" i="2"/>
  <c r="V23" i="2"/>
  <c r="W24" i="2"/>
  <c r="W23" i="2"/>
  <c r="X24" i="2"/>
  <c r="X23" i="2"/>
  <c r="Y24" i="2"/>
  <c r="U24" i="2"/>
  <c r="Y23" i="2"/>
  <c r="F14" i="2"/>
  <c r="F16" i="2" s="1"/>
  <c r="F18" i="2" s="1"/>
  <c r="F20" i="2" s="1"/>
  <c r="I14" i="2"/>
  <c r="I16" i="2" s="1"/>
  <c r="I18" i="2" s="1"/>
  <c r="I20" i="2" s="1"/>
  <c r="U22" i="2"/>
  <c r="W2" i="2"/>
  <c r="X2" i="2" s="1"/>
  <c r="Y2" i="2" s="1"/>
  <c r="Z2" i="2" s="1"/>
  <c r="Z22" i="2" s="1"/>
  <c r="U8" i="2"/>
  <c r="V22" i="2"/>
  <c r="S28" i="2"/>
  <c r="Q14" i="2"/>
  <c r="Q16" i="2" s="1"/>
  <c r="S26" i="2"/>
  <c r="Q28" i="2"/>
  <c r="R26" i="2"/>
  <c r="R28" i="2"/>
  <c r="Q29" i="2"/>
  <c r="R14" i="2"/>
  <c r="R16" i="2" s="1"/>
  <c r="S14" i="2"/>
  <c r="S16" i="2" s="1"/>
  <c r="K28" i="2"/>
  <c r="H57" i="2"/>
  <c r="L28" i="2"/>
  <c r="G28" i="2"/>
  <c r="L29" i="2"/>
  <c r="H28" i="2"/>
  <c r="H63" i="2"/>
  <c r="L63" i="2"/>
  <c r="G14" i="2"/>
  <c r="G16" i="2" s="1"/>
  <c r="K14" i="2"/>
  <c r="K16" i="2" s="1"/>
  <c r="H14" i="2"/>
  <c r="H16" i="2" s="1"/>
  <c r="H18" i="2" s="1"/>
  <c r="H20" i="2" s="1"/>
  <c r="W22" i="2" l="1"/>
  <c r="X22" i="2"/>
  <c r="U9" i="2"/>
  <c r="U11" i="2" s="1"/>
  <c r="U29" i="2" s="1"/>
  <c r="U26" i="2"/>
  <c r="V5" i="2"/>
  <c r="U25" i="2"/>
  <c r="Y22" i="2"/>
  <c r="T11" i="2"/>
  <c r="T28" i="2"/>
  <c r="S18" i="2"/>
  <c r="S20" i="2" s="1"/>
  <c r="S31" i="2"/>
  <c r="S53" i="2" s="1"/>
  <c r="R18" i="2"/>
  <c r="R20" i="2" s="1"/>
  <c r="R31" i="2"/>
  <c r="R53" i="2" s="1"/>
  <c r="Q18" i="2"/>
  <c r="Q20" i="2" s="1"/>
  <c r="Q31" i="2"/>
  <c r="Q53" i="2" s="1"/>
  <c r="K18" i="2"/>
  <c r="K20" i="2" s="1"/>
  <c r="K31" i="2"/>
  <c r="G18" i="2"/>
  <c r="G20" i="2" s="1"/>
  <c r="G31" i="2"/>
  <c r="W5" i="2" l="1"/>
  <c r="V25" i="2"/>
  <c r="U28" i="2"/>
  <c r="T14" i="2"/>
  <c r="T29" i="2"/>
  <c r="Q67" i="2"/>
  <c r="Q65" i="2"/>
  <c r="S67" i="2"/>
  <c r="S65" i="2"/>
  <c r="R67" i="2"/>
  <c r="R65" i="2"/>
  <c r="H31" i="2"/>
  <c r="H53" i="2" s="1"/>
  <c r="G53" i="2"/>
  <c r="L31" i="2"/>
  <c r="L53" i="2" s="1"/>
  <c r="K53" i="2"/>
  <c r="V8" i="2" l="1"/>
  <c r="V9" i="2" s="1"/>
  <c r="V26" i="2"/>
  <c r="X5" i="2"/>
  <c r="W25" i="2"/>
  <c r="T15" i="2"/>
  <c r="T16" i="2" s="1"/>
  <c r="T18" i="2" s="1"/>
  <c r="L67" i="2"/>
  <c r="L65" i="2"/>
  <c r="G67" i="2"/>
  <c r="G65" i="2"/>
  <c r="H65" i="2"/>
  <c r="H67" i="2"/>
  <c r="K65" i="2"/>
  <c r="K67" i="2"/>
  <c r="W8" i="2" l="1"/>
  <c r="W9" i="2" s="1"/>
  <c r="W26" i="2"/>
  <c r="Y5" i="2"/>
  <c r="X25" i="2"/>
  <c r="V11" i="2"/>
  <c r="V29" i="2" s="1"/>
  <c r="V28" i="2"/>
  <c r="T20" i="2"/>
  <c r="T69" i="2"/>
  <c r="U12" i="2" s="1"/>
  <c r="U14" i="2" s="1"/>
  <c r="X8" i="2" l="1"/>
  <c r="X9" i="2" s="1"/>
  <c r="X26" i="2"/>
  <c r="Z5" i="2"/>
  <c r="Y25" i="2"/>
  <c r="W11" i="2"/>
  <c r="W29" i="2" s="1"/>
  <c r="W28" i="2"/>
  <c r="U15" i="2"/>
  <c r="U16" i="2" s="1"/>
  <c r="U18" i="2" s="1"/>
  <c r="Z25" i="2" l="1"/>
  <c r="Y26" i="2"/>
  <c r="Y8" i="2"/>
  <c r="Y9" i="2" s="1"/>
  <c r="X28" i="2"/>
  <c r="X11" i="2"/>
  <c r="X29" i="2" s="1"/>
  <c r="U20" i="2"/>
  <c r="U69" i="2"/>
  <c r="V12" i="2" s="1"/>
  <c r="V14" i="2" s="1"/>
  <c r="Y28" i="2" l="1"/>
  <c r="Y11" i="2"/>
  <c r="Y29" i="2" s="1"/>
  <c r="Z8" i="2"/>
  <c r="Z9" i="2" s="1"/>
  <c r="Z26" i="2"/>
  <c r="V15" i="2"/>
  <c r="V16" i="2" s="1"/>
  <c r="V18" i="2" s="1"/>
  <c r="Z11" i="2" l="1"/>
  <c r="Z29" i="2" s="1"/>
  <c r="Z28" i="2"/>
  <c r="V20" i="2"/>
  <c r="V69" i="2"/>
  <c r="W12" i="2" s="1"/>
  <c r="W14" i="2" s="1"/>
  <c r="W15" i="2" l="1"/>
  <c r="W16" i="2" s="1"/>
  <c r="W18" i="2" s="1"/>
  <c r="W20" i="2" l="1"/>
  <c r="W69" i="2"/>
  <c r="X12" i="2" s="1"/>
  <c r="X14" i="2" s="1"/>
  <c r="X15" i="2" l="1"/>
  <c r="X16" i="2" s="1"/>
  <c r="X18" i="2" s="1"/>
  <c r="X20" i="2" l="1"/>
  <c r="X69" i="2"/>
  <c r="Y12" i="2" s="1"/>
  <c r="Y14" i="2" s="1"/>
  <c r="Y15" i="2" l="1"/>
  <c r="Y16" i="2" s="1"/>
  <c r="Y18" i="2" s="1"/>
  <c r="Y20" i="2" l="1"/>
  <c r="Y69" i="2"/>
  <c r="Z12" i="2" s="1"/>
  <c r="Z14" i="2" s="1"/>
  <c r="Z15" i="2" l="1"/>
  <c r="Z16" i="2" s="1"/>
  <c r="Z18" i="2" s="1"/>
  <c r="Z20" i="2" l="1"/>
  <c r="AA18" i="2"/>
  <c r="AB18" i="2" s="1"/>
  <c r="AC18" i="2" s="1"/>
  <c r="AD18" i="2" s="1"/>
  <c r="AE18" i="2" s="1"/>
  <c r="AF18" i="2" s="1"/>
  <c r="AG18" i="2" s="1"/>
  <c r="AH18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BP18" i="2" s="1"/>
  <c r="AC5" i="2" s="1"/>
  <c r="AC7" i="2" s="1"/>
  <c r="AC8" i="2" s="1"/>
  <c r="Z6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<sst xmlns="http://schemas.openxmlformats.org/spreadsheetml/2006/main" count="146" uniqueCount="134">
  <si>
    <t>ticket</t>
  </si>
  <si>
    <t xml:space="preserve">price </t>
  </si>
  <si>
    <t>shares</t>
  </si>
  <si>
    <t>mc</t>
  </si>
  <si>
    <t>cash</t>
  </si>
  <si>
    <t>debt</t>
  </si>
  <si>
    <t>ev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</si>
  <si>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</si>
  <si>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</si>
  <si>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</si>
  <si>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</si>
  <si>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</si>
  <si>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</si>
  <si>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</si>
  <si>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</si>
  <si>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</si>
  <si>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</si>
  <si>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</si>
  <si>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</si>
  <si>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Revenue</t>
  </si>
  <si>
    <t>COGS</t>
  </si>
  <si>
    <t>Gross Profit</t>
  </si>
  <si>
    <t>S,G&amp;A</t>
  </si>
  <si>
    <t>Operating Income</t>
  </si>
  <si>
    <t>Interest Income</t>
  </si>
  <si>
    <t>FX losses</t>
  </si>
  <si>
    <t>Net Income</t>
  </si>
  <si>
    <t>Shares</t>
  </si>
  <si>
    <t>EPS</t>
  </si>
  <si>
    <t>Pretax Income</t>
  </si>
  <si>
    <t>Taxes</t>
  </si>
  <si>
    <t xml:space="preserve">Preferred stock </t>
  </si>
  <si>
    <t>Net Income to shareholders</t>
  </si>
  <si>
    <t>Revenue Y/Y</t>
  </si>
  <si>
    <t>Gross Margin</t>
  </si>
  <si>
    <t>Operating Margin</t>
  </si>
  <si>
    <t>D&amp;A</t>
  </si>
  <si>
    <t>Allowance for expected credit losses</t>
  </si>
  <si>
    <t>Amortization of deferred other costs</t>
  </si>
  <si>
    <t>Inventory excess and obsolescence</t>
  </si>
  <si>
    <t>Loss on disposal of property and equipment</t>
  </si>
  <si>
    <t>SBC</t>
  </si>
  <si>
    <t>Deferred income taxes-net</t>
  </si>
  <si>
    <t>AR</t>
  </si>
  <si>
    <t>Inventories</t>
  </si>
  <si>
    <t>Prepaid expenses</t>
  </si>
  <si>
    <t>AP</t>
  </si>
  <si>
    <t>Accrued expenses</t>
  </si>
  <si>
    <t>Income Taxes</t>
  </si>
  <si>
    <t>Accrued promotional allowance</t>
  </si>
  <si>
    <t>Accrued distributor termination fees</t>
  </si>
  <si>
    <t>Other current liabilities</t>
  </si>
  <si>
    <t>Change in right of use and lease obligation-net</t>
  </si>
  <si>
    <t>Deferred revenue</t>
  </si>
  <si>
    <t>Other long-term assets</t>
  </si>
  <si>
    <t>CFFO</t>
  </si>
  <si>
    <t>Collections from note receivable</t>
  </si>
  <si>
    <t>Purchase of PPE</t>
  </si>
  <si>
    <t>CFFI</t>
  </si>
  <si>
    <t>Principal payments on finance lease obligations</t>
  </si>
  <si>
    <t>Proceeds from exercise of stock options</t>
  </si>
  <si>
    <t>CFFF</t>
  </si>
  <si>
    <t>Cash dividends paid onconvertible preferred stock</t>
  </si>
  <si>
    <t>FX</t>
  </si>
  <si>
    <t>Net change in cash</t>
  </si>
  <si>
    <t>FCF</t>
  </si>
  <si>
    <t>net cash</t>
  </si>
  <si>
    <t>Cash</t>
  </si>
  <si>
    <t>Note receivable-current-net</t>
  </si>
  <si>
    <t>Deferred other costs-curren</t>
  </si>
  <si>
    <t>Prepaid expenses and other current assets</t>
  </si>
  <si>
    <t>PPE</t>
  </si>
  <si>
    <t>Deferred taxes</t>
  </si>
  <si>
    <t>Right of use assets-operating leases</t>
  </si>
  <si>
    <t>Right of use assets-finance leases</t>
  </si>
  <si>
    <t>Deferred other costs-non-current</t>
  </si>
  <si>
    <t>Intangibles</t>
  </si>
  <si>
    <t>Goodwill</t>
  </si>
  <si>
    <t>Other LT assets</t>
  </si>
  <si>
    <t>Total Assets</t>
  </si>
  <si>
    <t>Income taxes</t>
  </si>
  <si>
    <t>Lease liability obligation-operating leases-current</t>
  </si>
  <si>
    <t>Lease liability obligation-finance leases</t>
  </si>
  <si>
    <t>Deferred revenue-current</t>
  </si>
  <si>
    <t>Lease liability obligation-operating leases NC</t>
  </si>
  <si>
    <t>Lease liability obligation-finance leases NC</t>
  </si>
  <si>
    <t>Deferred tax liabilities</t>
  </si>
  <si>
    <t>Deferred revenue-non-current</t>
  </si>
  <si>
    <t>Total Liabilities</t>
  </si>
  <si>
    <t>main</t>
  </si>
  <si>
    <t>Founded</t>
  </si>
  <si>
    <t xml:space="preserve">Founder </t>
  </si>
  <si>
    <t>CEO</t>
  </si>
  <si>
    <t>HQ</t>
  </si>
  <si>
    <t>IPO</t>
  </si>
  <si>
    <t>Industry</t>
  </si>
  <si>
    <t>Employees</t>
  </si>
  <si>
    <t>Products:</t>
  </si>
  <si>
    <t xml:space="preserve">functional energy drink category </t>
  </si>
  <si>
    <t>News:</t>
  </si>
  <si>
    <t>August 2022 - PepsiCo Inc. (“Pepsi”) became the primary distribution supplier for Celsius products in the U.S.</t>
  </si>
  <si>
    <t>Pepsi purchased 1.5 million shares of the Company's Series A Convertible Preferred Stock for cash proceeds of $550 million</t>
  </si>
  <si>
    <t>Main Costumers</t>
  </si>
  <si>
    <t>Pepsico</t>
  </si>
  <si>
    <t>Costco</t>
  </si>
  <si>
    <t>Other</t>
  </si>
  <si>
    <t>US</t>
  </si>
  <si>
    <t>Europe</t>
  </si>
  <si>
    <t>Asia Pacific</t>
  </si>
  <si>
    <t>US y/y</t>
  </si>
  <si>
    <t>Europe y/y</t>
  </si>
  <si>
    <t>Asia Pacific y/y</t>
  </si>
  <si>
    <t>Other y/y</t>
  </si>
  <si>
    <t>Costumers</t>
  </si>
  <si>
    <t>Pepsi</t>
  </si>
  <si>
    <t>Amazon</t>
  </si>
  <si>
    <t>All others</t>
  </si>
  <si>
    <t>Impairment of intangible assets</t>
  </si>
  <si>
    <t>Proceeds from issuance of preferred shares</t>
  </si>
  <si>
    <t>Discount</t>
  </si>
  <si>
    <t>Maturity</t>
  </si>
  <si>
    <t>ROIC</t>
  </si>
  <si>
    <t>NPV</t>
  </si>
  <si>
    <t>Net cash</t>
  </si>
  <si>
    <t>Mkt value</t>
  </si>
  <si>
    <t>John Fieldly</t>
  </si>
  <si>
    <t>#3 total U.S. energy drink share in tracked channels (MULOC) at 11%</t>
  </si>
  <si>
    <t>6 countries added in 2024</t>
  </si>
  <si>
    <t>Competitors</t>
  </si>
  <si>
    <t>Redbull</t>
  </si>
  <si>
    <t>Monster Energy</t>
  </si>
  <si>
    <t>C4</t>
  </si>
  <si>
    <t>Share %</t>
  </si>
  <si>
    <t>EV/FCF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</si>
</sst>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_ ;_-[$$-409]* \-#,##0.00\ ;_-[$$-409]* &quot;-&quot;??_ ;_-@_ "/>
    <numFmt numFmtId="165" formatCode="0.0%"/>
    <numFmt numFmtId="166" formatCode="_([$$-409]* #,##0.00_);_([$$-409]* \(#,##0.00\);_([$$-409]* &quot;-&quot;??_);_(@_)"/>
    <numFmt numFmtId="167" formatCode="0.0\x"/>
  </numFmts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164" fontId="1" fillId="0" borderId="0" xfId="0" applyNumberFormat="1" applyFont="1"/>
    <xf numFmtId="9" fontId="1" fillId="0" borderId="0" xfId="0" applyNumberFormat="1" applyFont="1"/>
    <xf numFmtId="165" fontId="1" fillId="0" borderId="0" xfId="0" applyNumberFormat="1" applyFont="1"/>
    <xf numFmtId="10" fontId="1" fillId="0" borderId="0" xfId="0" applyNumberFormat="1" applyFont="1"/>
    <xf numFmtId="9" fontId="2" fillId="0" borderId="0" xfId="0" applyNumberFormat="1" applyFont="1"/>
    <xf numFmtId="0" fontId="4" fillId="0" borderId="0" xfId="1" applyFont="1"/>
    <xf numFmtId="166" fontId="1" fillId="0" borderId="0" xfId="0" applyNumberFormat="1" applyFont="1"/>
    <xf numFmtId="167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0</xdr:row>
      <xdr:rowOff>38100</xdr:rowOff>
    </xdr:from>
    <xdr:to>
      <xdr:col>12</xdr:col>
      <xdr:colOff>0</xdr:colOff>
      <xdr:row>98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6DBB838-2F59-3E2C-4B1B-F67598D9396B}"/>
            </a:ext>
          </a:extLst>
        </xdr:cNvPr>
        <xdr:cNvCxnSpPr/>
      </xdr:nvCxnSpPr>
      <xdr:spPr>
        <a:xfrm>
          <a:off x="8934450" y="38100"/>
          <a:ext cx="9525" cy="139350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0</xdr:row>
      <xdr:rowOff>0</xdr:rowOff>
    </xdr:from>
    <xdr:to>
      <xdr:col>19</xdr:col>
      <xdr:colOff>9525</xdr:colOff>
      <xdr:row>98</xdr:row>
      <xdr:rowOff>9525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1660231-13FA-4A3D-82E3-62F080F4CE96}"/>
            </a:ext>
          </a:extLst>
        </xdr:cNvPr>
        <xdr:cNvCxnSpPr/>
      </xdr:nvCxnSpPr>
      <xdr:spPr>
        <a:xfrm>
          <a:off x="13582650" y="0"/>
          <a:ext cx="9525" cy="157257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https://www.bing.com/financeapi/forcetrigger?t=a1pghw&amp;q=XNAS%3aCELH&amp;form=skydnc</v>
    <v>Learn more on Bing</v>
  </rv>
  <rv s="1">
    <v>en-GB</v>
    <v>a1pghw</v>
    <v>268435456</v>
    <v>1</v>
    <v>Powered by Refinitiv</v>
    <v>0</v>
    <v>CELSIUS HOLDINGS, INC. (XNAS:CELH)</v>
    <v>2</v>
    <v>3</v>
    <v>Finance</v>
    <v>4</v>
    <v>99.619900000000001</v>
    <v>28.2</v>
    <v>1.8349</v>
    <v>-1.11E-2</v>
    <v>-3.5060000000000001E-4</v>
    <v>USD</v>
    <v>Celsius Holdings, Inc. is engaged in the development, processing, marketing, sale, and distribution of functional energy drinks to a range of consumers. The Company's flagship asset, CELSIUS, is marketed as a fitness drink or supplement which, with exercise, is designed to accelerate metabolism and burn body fat while providing energy. This product line comes in two versions: a ready-to-drink form and an on-the-go powder form. The Company also offers a new CELSIUS Essentials line, available in 16-ounce cans. Celsius products are offered in retail channels across the United States, including conventional grocery, natural, convenience, fitness, mass market, vitamin specialty and e-commerce. Additionally, the Company's products are also offered in certain Canadian, European, Middle Eastern and Asia-Pacific markets. Its product's formulation includes ingredients and supplements such as green tea (EGCG), ginger (from the root), calcium, chromium, B vitamins and vitamin C.</v>
    <v>765</v>
    <v>Nasdaq Stock Market</v>
    <v>XNAS</v>
    <v>XNAS</v>
    <v>2424 N. Federal Hwy, Suite 208, BOCA RATON, FL, 33431 US</v>
    <v>32.24</v>
    <v>Beverages</v>
    <v>Stock</v>
    <v>45593.704451573438</v>
    <v>0</v>
    <v>31.35</v>
    <v>7376333165</v>
    <v>CELSIUS HOLDINGS, INC.</v>
    <v>CELSIUS HOLDINGS, INC.</v>
    <v>32</v>
    <v>31.446000000000002</v>
    <v>31.66</v>
    <v>31.648900000000001</v>
    <v>233067600</v>
    <v>CELH</v>
    <v>CELSIUS HOLDINGS, INC. (XNAS:CELH)</v>
    <v>3040209</v>
    <v>9951516</v>
    <v>2005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5623-8E1A-4511-936D-A388BB0DCDCE}">
  <dimension ref="A1:I22"/>
  <sheetViews>
    <sheetView showGridLines="0" workbookViewId="0">
      <selection activeCell="I8" sqref="I8"/>
    </sheetView>
  </sheetViews>
  <sheetFormatPr defaultColWidth="9.109375" defaultRowHeight="13.2" x14ac:dyDescent="0.25"/>
  <cols>
    <col min="1" max="1" width="14.44140625" style="1" customWidth="1"/>
    <col min="2" max="3" width="9.109375" style="1"/>
    <col min="4" max="4" width="10.88671875" style="1" bestFit="1" customWidth="1"/>
    <col min="5" max="6" width="9.109375" style="1"/>
    <col min="7" max="7" width="14.6640625" style="1" bestFit="1" customWidth="1"/>
    <col min="8" max="16384" width="9.109375" style="1"/>
  </cols>
  <sheetData>
    <row r="1" spans="1:9" x14ac:dyDescent="0.25">
      <c r="A1" s="1" t="s">
        <v>0</v>
      </c>
      <c r="B1" s="1" t="e" vm="1">
        <v>#VALUE!</v>
      </c>
      <c r="D1" s="3" t="s">
        <v>90</v>
      </c>
      <c r="E1" s="1">
        <v>2005</v>
      </c>
      <c r="G1" s="3" t="s">
        <v>102</v>
      </c>
      <c r="H1" s="3" t="s">
        <v>16</v>
      </c>
      <c r="I1" s="3" t="s">
        <v>12</v>
      </c>
    </row>
    <row r="2" spans="1:9" x14ac:dyDescent="0.25">
      <c r="A2" s="1" t="s">
        <v>1</v>
      </c>
      <c r="B2" s="11" cm="1">
        <f t="array" aca="1" ref="B2" ca="1">+_FV(B1,"Price")</f>
        <v>31.648900000000001</v>
      </c>
      <c r="D2" s="3" t="s">
        <v>91</v>
      </c>
      <c r="G2" s="1" t="s">
        <v>103</v>
      </c>
      <c r="H2" s="8">
        <v>0.52900000000000003</v>
      </c>
      <c r="I2" s="8">
        <v>0.56699999999999995</v>
      </c>
    </row>
    <row r="3" spans="1:9" x14ac:dyDescent="0.25">
      <c r="A3" s="1" t="s">
        <v>2</v>
      </c>
      <c r="B3" s="1">
        <v>233.067644</v>
      </c>
      <c r="D3" s="3" t="s">
        <v>92</v>
      </c>
      <c r="E3" s="1" t="s">
        <v>125</v>
      </c>
      <c r="G3" s="1" t="s">
        <v>104</v>
      </c>
      <c r="H3" s="8">
        <v>0.121</v>
      </c>
      <c r="I3" s="8">
        <v>0.13</v>
      </c>
    </row>
    <row r="4" spans="1:9" x14ac:dyDescent="0.25">
      <c r="A4" s="1" t="s">
        <v>3</v>
      </c>
      <c r="B4" s="2">
        <f ca="1">+B2*B3</f>
        <v>7376.3345581916001</v>
      </c>
      <c r="D4" s="3" t="s">
        <v>93</v>
      </c>
      <c r="G4" s="1" t="s">
        <v>105</v>
      </c>
      <c r="H4" s="6">
        <v>0.35</v>
      </c>
      <c r="I4" s="8">
        <v>0.30299999999999999</v>
      </c>
    </row>
    <row r="5" spans="1:9" x14ac:dyDescent="0.25">
      <c r="A5" s="1" t="s">
        <v>4</v>
      </c>
      <c r="B5" s="2">
        <v>903.21</v>
      </c>
      <c r="D5" s="3" t="s">
        <v>94</v>
      </c>
    </row>
    <row r="6" spans="1:9" x14ac:dyDescent="0.25">
      <c r="A6" s="1" t="s">
        <v>5</v>
      </c>
      <c r="B6" s="2">
        <v>6.0999999999999999E-2</v>
      </c>
      <c r="D6" s="3" t="s">
        <v>95</v>
      </c>
    </row>
    <row r="7" spans="1:9" x14ac:dyDescent="0.25">
      <c r="A7" s="1" t="s">
        <v>6</v>
      </c>
      <c r="B7" s="2">
        <f ca="1">+B4-B5+B6</f>
        <v>6473.1855581915997</v>
      </c>
      <c r="D7" s="3" t="s">
        <v>96</v>
      </c>
      <c r="H7" s="3" t="s">
        <v>133</v>
      </c>
      <c r="I7" s="12">
        <f ca="1">+B7/246</f>
        <v>26.313762431673169</v>
      </c>
    </row>
    <row r="9" spans="1:9" x14ac:dyDescent="0.25">
      <c r="A9" s="3" t="s">
        <v>97</v>
      </c>
    </row>
    <row r="10" spans="1:9" x14ac:dyDescent="0.25">
      <c r="A10" s="1" t="s">
        <v>98</v>
      </c>
    </row>
    <row r="12" spans="1:9" x14ac:dyDescent="0.25">
      <c r="I12" s="3"/>
    </row>
    <row r="13" spans="1:9" x14ac:dyDescent="0.25">
      <c r="A13" s="3" t="s">
        <v>99</v>
      </c>
    </row>
    <row r="14" spans="1:9" x14ac:dyDescent="0.25">
      <c r="A14" s="1" t="s">
        <v>100</v>
      </c>
    </row>
    <row r="15" spans="1:9" x14ac:dyDescent="0.25">
      <c r="A15" s="1" t="s">
        <v>101</v>
      </c>
    </row>
    <row r="16" spans="1:9" x14ac:dyDescent="0.25">
      <c r="A16" s="1" t="s">
        <v>126</v>
      </c>
    </row>
    <row r="17" spans="1:2" x14ac:dyDescent="0.25">
      <c r="A17" s="1" t="s">
        <v>127</v>
      </c>
    </row>
    <row r="19" spans="1:2" x14ac:dyDescent="0.25">
      <c r="A19" s="3" t="s">
        <v>128</v>
      </c>
      <c r="B19" s="3" t="s">
        <v>132</v>
      </c>
    </row>
    <row r="20" spans="1:2" x14ac:dyDescent="0.25">
      <c r="A20" s="1" t="s">
        <v>129</v>
      </c>
      <c r="B20" s="6">
        <v>0.37</v>
      </c>
    </row>
    <row r="21" spans="1:2" x14ac:dyDescent="0.25">
      <c r="A21" s="1" t="s">
        <v>130</v>
      </c>
      <c r="B21" s="8">
        <v>0.28100000000000003</v>
      </c>
    </row>
    <row r="22" spans="1:2" x14ac:dyDescent="0.25">
      <c r="A22" s="1" t="s">
        <v>131</v>
      </c>
      <c r="B22" s="8">
        <v>3.3000000000000002E-2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6F60-81CF-47DE-BECC-238E9FB08E6B}">
  <dimension ref="A1:BP104"/>
  <sheetViews>
    <sheetView tabSelected="1" workbookViewId="0">
      <pane xSplit="2" ySplit="1" topLeftCell="D2" activePane="bottomRight" state="frozen"/>
      <selection pane="topRight" activeCell="B1" sqref="B1"/>
      <selection pane="bottomLeft" activeCell="A2" sqref="A2"/>
      <selection pane="bottomRight" activeCell="P5" sqref="P5"/>
    </sheetView>
  </sheetViews>
  <sheetFormatPr defaultColWidth="9.109375" defaultRowHeight="13.2" x14ac:dyDescent="0.25"/>
  <cols>
    <col min="1" max="1" width="5.5546875" style="1" bestFit="1" customWidth="1"/>
    <col min="2" max="2" width="42.6640625" style="1" bestFit="1" customWidth="1"/>
    <col min="3" max="28" width="9.109375" style="1"/>
    <col min="29" max="29" width="10.6640625" style="1" bestFit="1" customWidth="1"/>
    <col min="30" max="16384" width="9.109375" style="1"/>
  </cols>
  <sheetData>
    <row r="1" spans="1:29" x14ac:dyDescent="0.25">
      <c r="A1" s="10" t="s">
        <v>89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Q1" s="3">
        <v>2021</v>
      </c>
      <c r="R1" s="3">
        <f>+Q1+1</f>
        <v>2022</v>
      </c>
      <c r="S1" s="3">
        <f t="shared" ref="S1:Z1" si="0">+R1+1</f>
        <v>2023</v>
      </c>
      <c r="T1" s="3">
        <f t="shared" si="0"/>
        <v>2024</v>
      </c>
      <c r="U1" s="3">
        <f t="shared" si="0"/>
        <v>2025</v>
      </c>
      <c r="V1" s="3">
        <f t="shared" si="0"/>
        <v>2026</v>
      </c>
      <c r="W1" s="3">
        <f t="shared" si="0"/>
        <v>2027</v>
      </c>
      <c r="X1" s="3">
        <f t="shared" si="0"/>
        <v>2028</v>
      </c>
      <c r="Y1" s="3">
        <f t="shared" si="0"/>
        <v>2029</v>
      </c>
      <c r="Z1" s="3">
        <f t="shared" si="0"/>
        <v>2030</v>
      </c>
    </row>
    <row r="2" spans="1:29" x14ac:dyDescent="0.25">
      <c r="A2" s="10"/>
      <c r="B2" s="1" t="s">
        <v>106</v>
      </c>
      <c r="C2" s="2"/>
      <c r="D2" s="2"/>
      <c r="E2" s="2">
        <v>179.541</v>
      </c>
      <c r="F2" s="2"/>
      <c r="G2" s="2">
        <v>248.55199999999999</v>
      </c>
      <c r="H2" s="2">
        <v>310.815</v>
      </c>
      <c r="I2" s="2">
        <v>371.178</v>
      </c>
      <c r="J2" s="2">
        <f>+S2-I2-H2-G2</f>
        <v>332.79599999999994</v>
      </c>
      <c r="K2" s="2">
        <v>339.512</v>
      </c>
      <c r="L2" s="2">
        <v>382.351</v>
      </c>
      <c r="M2" s="2"/>
      <c r="N2" s="2"/>
      <c r="Q2" s="2">
        <v>273.005</v>
      </c>
      <c r="R2" s="2">
        <v>617.45699999999999</v>
      </c>
      <c r="S2" s="2">
        <v>1263.3409999999999</v>
      </c>
      <c r="T2" s="2">
        <f>+S2*1.23</f>
        <v>1553.9094299999999</v>
      </c>
      <c r="U2" s="2">
        <f>+T2*1.2</f>
        <v>1864.6913159999999</v>
      </c>
      <c r="V2" s="2">
        <f>+U2*1.18</f>
        <v>2200.3357528799997</v>
      </c>
      <c r="W2" s="2">
        <f>+V2*1.155</f>
        <v>2541.3877945763998</v>
      </c>
      <c r="X2" s="2">
        <f>+W2*1.13</f>
        <v>2871.7682078713315</v>
      </c>
      <c r="Y2" s="2">
        <f>+X2*1.12</f>
        <v>3216.3803928158914</v>
      </c>
      <c r="Z2" s="2">
        <f t="shared" ref="Z2" si="1">+Y2*1.1</f>
        <v>3538.0184320974809</v>
      </c>
      <c r="AB2" s="3" t="s">
        <v>119</v>
      </c>
      <c r="AC2" s="7">
        <v>0.1</v>
      </c>
    </row>
    <row r="3" spans="1:29" x14ac:dyDescent="0.25">
      <c r="A3" s="10"/>
      <c r="B3" s="1" t="s">
        <v>107</v>
      </c>
      <c r="C3" s="2"/>
      <c r="D3" s="2"/>
      <c r="E3" s="2">
        <v>7.5460000000000003</v>
      </c>
      <c r="F3" s="2"/>
      <c r="G3" s="2">
        <v>8.6519999999999992</v>
      </c>
      <c r="H3" s="2">
        <v>11.909000000000001</v>
      </c>
      <c r="I3" s="2">
        <v>11.038</v>
      </c>
      <c r="J3" s="2">
        <f>+S3-I3-H3-G3</f>
        <v>12.122999999999999</v>
      </c>
      <c r="K3" s="2">
        <v>14.141999999999999</v>
      </c>
      <c r="L3" s="2">
        <v>16.684000000000001</v>
      </c>
      <c r="M3" s="2"/>
      <c r="N3" s="2"/>
      <c r="Q3" s="2">
        <v>38.097000000000001</v>
      </c>
      <c r="R3" s="2">
        <v>31.053999999999998</v>
      </c>
      <c r="S3" s="2">
        <v>43.722000000000001</v>
      </c>
      <c r="T3" s="2">
        <f>+S3*1.4</f>
        <v>61.210799999999999</v>
      </c>
      <c r="U3" s="2">
        <f t="shared" ref="U3:Z3" si="2">+T3*1.4</f>
        <v>85.695119999999989</v>
      </c>
      <c r="V3" s="2">
        <f t="shared" si="2"/>
        <v>119.97316799999997</v>
      </c>
      <c r="W3" s="2">
        <f t="shared" si="2"/>
        <v>167.96243519999996</v>
      </c>
      <c r="X3" s="2">
        <f t="shared" si="2"/>
        <v>235.14740927999992</v>
      </c>
      <c r="Y3" s="2">
        <f t="shared" si="2"/>
        <v>329.20637299199984</v>
      </c>
      <c r="Z3" s="2">
        <f t="shared" si="2"/>
        <v>460.88892218879977</v>
      </c>
      <c r="AB3" s="3" t="s">
        <v>120</v>
      </c>
      <c r="AC3" s="7">
        <v>0.02</v>
      </c>
    </row>
    <row r="4" spans="1:29" x14ac:dyDescent="0.25">
      <c r="A4" s="10"/>
      <c r="B4" s="1" t="s">
        <v>108</v>
      </c>
      <c r="C4" s="2"/>
      <c r="D4" s="2"/>
      <c r="E4" s="2">
        <v>0.96399999999999997</v>
      </c>
      <c r="F4" s="2"/>
      <c r="G4" s="2">
        <v>1.258</v>
      </c>
      <c r="H4" s="2">
        <v>1.6060000000000001</v>
      </c>
      <c r="I4" s="2">
        <v>1.2470000000000001</v>
      </c>
      <c r="J4" s="2">
        <f>+S4-I4-H4-G4</f>
        <v>0.64399999999999991</v>
      </c>
      <c r="K4" s="2">
        <v>0.67500000000000004</v>
      </c>
      <c r="L4" s="2">
        <v>0.86</v>
      </c>
      <c r="M4" s="2"/>
      <c r="N4" s="2"/>
      <c r="Q4" s="2">
        <v>2.5379999999999998</v>
      </c>
      <c r="R4" s="2">
        <v>3.6469999999999998</v>
      </c>
      <c r="S4" s="2">
        <v>4.7549999999999999</v>
      </c>
      <c r="T4" s="2">
        <f>+S4*1.3</f>
        <v>6.1814999999999998</v>
      </c>
      <c r="U4" s="2">
        <f t="shared" ref="U4:Z4" si="3">+T4*1.3</f>
        <v>8.0359499999999997</v>
      </c>
      <c r="V4" s="2">
        <f t="shared" si="3"/>
        <v>10.446735</v>
      </c>
      <c r="W4" s="2">
        <f t="shared" si="3"/>
        <v>13.5807555</v>
      </c>
      <c r="X4" s="2">
        <f t="shared" si="3"/>
        <v>17.654982150000002</v>
      </c>
      <c r="Y4" s="2">
        <f t="shared" si="3"/>
        <v>22.951476795000005</v>
      </c>
      <c r="Z4" s="2">
        <f t="shared" si="3"/>
        <v>29.836919833500009</v>
      </c>
      <c r="AB4" s="3" t="s">
        <v>121</v>
      </c>
      <c r="AC4" s="6">
        <v>0.05</v>
      </c>
    </row>
    <row r="5" spans="1:29" x14ac:dyDescent="0.25">
      <c r="A5" s="10"/>
      <c r="B5" s="1" t="s">
        <v>105</v>
      </c>
      <c r="C5" s="2"/>
      <c r="D5" s="2"/>
      <c r="E5" s="2">
        <v>0.182</v>
      </c>
      <c r="F5" s="2"/>
      <c r="G5" s="2">
        <v>1.4770000000000001</v>
      </c>
      <c r="H5" s="2">
        <v>1.5529999999999999</v>
      </c>
      <c r="I5" s="2">
        <v>1.294</v>
      </c>
      <c r="J5" s="2">
        <f>+S5-I5-H5-G5</f>
        <v>1.8719999999999992</v>
      </c>
      <c r="K5" s="2">
        <v>1.379</v>
      </c>
      <c r="L5" s="2">
        <v>2.0819999999999999</v>
      </c>
      <c r="M5" s="2"/>
      <c r="N5" s="2"/>
      <c r="Q5" s="2">
        <v>0.63200000000000001</v>
      </c>
      <c r="R5" s="2">
        <v>1.446</v>
      </c>
      <c r="S5" s="2">
        <v>6.1959999999999997</v>
      </c>
      <c r="T5" s="2">
        <f>+S5*1.99</f>
        <v>12.330039999999999</v>
      </c>
      <c r="U5" s="2">
        <f t="shared" ref="U5" si="4">+T5*1.99</f>
        <v>24.536779599999996</v>
      </c>
      <c r="V5" s="2">
        <f>+U5*1.5</f>
        <v>36.805169399999997</v>
      </c>
      <c r="W5" s="2">
        <f>+V5*1.4</f>
        <v>51.527237159999991</v>
      </c>
      <c r="X5" s="2">
        <f t="shared" ref="X5:Z5" si="5">+W5*1.4</f>
        <v>72.138132023999987</v>
      </c>
      <c r="Y5" s="2">
        <f t="shared" si="5"/>
        <v>100.99338483359998</v>
      </c>
      <c r="Z5" s="2">
        <f t="shared" si="5"/>
        <v>141.39073876703995</v>
      </c>
      <c r="AB5" s="3" t="s">
        <v>122</v>
      </c>
      <c r="AC5" s="2">
        <f>+NPV(AC2,T18:BP18)</f>
        <v>10460.644284642214</v>
      </c>
    </row>
    <row r="6" spans="1:29" x14ac:dyDescent="0.25">
      <c r="A6" s="10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Q6" s="4"/>
      <c r="R6" s="4"/>
      <c r="S6" s="4"/>
      <c r="T6" s="4"/>
      <c r="U6" s="4"/>
      <c r="V6" s="4"/>
      <c r="W6" s="4"/>
      <c r="X6" s="4"/>
      <c r="Y6" s="4"/>
      <c r="Z6" s="4"/>
      <c r="AB6" s="3" t="s">
        <v>123</v>
      </c>
      <c r="AC6" s="2">
        <f>+S69</f>
        <v>903</v>
      </c>
    </row>
    <row r="7" spans="1:29" x14ac:dyDescent="0.25">
      <c r="B7" s="1" t="s">
        <v>19</v>
      </c>
      <c r="C7" s="2"/>
      <c r="D7" s="2"/>
      <c r="E7" s="2">
        <f>+SUM(E2:E5)</f>
        <v>188.23299999999998</v>
      </c>
      <c r="F7" s="2"/>
      <c r="G7" s="2">
        <v>259.93900000000002</v>
      </c>
      <c r="H7" s="2">
        <v>325.88299999999998</v>
      </c>
      <c r="I7" s="2">
        <f>+SUM(I2:I5)</f>
        <v>384.75700000000001</v>
      </c>
      <c r="J7" s="2"/>
      <c r="K7" s="2">
        <v>355.70800000000003</v>
      </c>
      <c r="L7" s="2">
        <f>+SUM(L2:L5)</f>
        <v>401.97700000000003</v>
      </c>
      <c r="Q7" s="2">
        <f t="shared" ref="Q7:R7" si="6">+SUM(Q2:Q5)</f>
        <v>314.27199999999999</v>
      </c>
      <c r="R7" s="2">
        <f t="shared" si="6"/>
        <v>653.60400000000004</v>
      </c>
      <c r="S7" s="2">
        <f>+SUM(S2:S5)</f>
        <v>1318.0139999999999</v>
      </c>
      <c r="T7" s="2">
        <f>+S7*1.17</f>
        <v>1542.0763799999997</v>
      </c>
      <c r="U7" s="2">
        <f t="shared" ref="U7:Z7" si="7">+T7*1.17</f>
        <v>1804.2293645999996</v>
      </c>
      <c r="V7" s="2">
        <f t="shared" si="7"/>
        <v>2110.9483565819992</v>
      </c>
      <c r="W7" s="2">
        <f t="shared" si="7"/>
        <v>2469.8095772009387</v>
      </c>
      <c r="X7" s="2">
        <f t="shared" si="7"/>
        <v>2889.6772053250984</v>
      </c>
      <c r="Y7" s="2">
        <f t="shared" si="7"/>
        <v>3380.9223302303649</v>
      </c>
      <c r="Z7" s="2">
        <f t="shared" si="7"/>
        <v>3955.6791263695268</v>
      </c>
      <c r="AB7" s="3" t="s">
        <v>124</v>
      </c>
      <c r="AC7" s="2">
        <f>+AC5+AC6</f>
        <v>11363.644284642214</v>
      </c>
    </row>
    <row r="8" spans="1:29" x14ac:dyDescent="0.25">
      <c r="B8" s="1" t="s">
        <v>20</v>
      </c>
      <c r="C8" s="2"/>
      <c r="D8" s="2"/>
      <c r="E8" s="2">
        <v>109.583</v>
      </c>
      <c r="F8" s="2"/>
      <c r="G8" s="2">
        <v>146.12100000000001</v>
      </c>
      <c r="H8" s="2">
        <v>166.88900000000001</v>
      </c>
      <c r="I8" s="2">
        <v>190.67500000000001</v>
      </c>
      <c r="J8" s="2"/>
      <c r="K8" s="2">
        <v>173.501</v>
      </c>
      <c r="L8" s="2">
        <v>192.87899999999999</v>
      </c>
      <c r="Q8" s="2">
        <v>186.10300000000001</v>
      </c>
      <c r="R8" s="2">
        <v>382.73500000000001</v>
      </c>
      <c r="S8" s="2">
        <v>684.875</v>
      </c>
      <c r="T8" s="2">
        <f>+T7*0.48</f>
        <v>740.19666239999981</v>
      </c>
      <c r="U8" s="2">
        <f t="shared" ref="U8:Z8" si="8">+U7*0.48</f>
        <v>866.03009500799976</v>
      </c>
      <c r="V8" s="2">
        <f t="shared" si="8"/>
        <v>1013.2552111593595</v>
      </c>
      <c r="W8" s="2">
        <f t="shared" si="8"/>
        <v>1185.5085970564505</v>
      </c>
      <c r="X8" s="2">
        <f t="shared" si="8"/>
        <v>1387.0450585560473</v>
      </c>
      <c r="Y8" s="2">
        <f t="shared" si="8"/>
        <v>1622.842718510575</v>
      </c>
      <c r="Z8" s="2">
        <f t="shared" si="8"/>
        <v>1898.7259806573727</v>
      </c>
      <c r="AC8" s="5">
        <f>+AC7/L19</f>
        <v>47.827792186881936</v>
      </c>
    </row>
    <row r="9" spans="1:29" x14ac:dyDescent="0.25">
      <c r="B9" s="1" t="s">
        <v>21</v>
      </c>
      <c r="C9" s="2">
        <f t="shared" ref="C9:K9" si="9">+C7-C8</f>
        <v>0</v>
      </c>
      <c r="D9" s="2">
        <f t="shared" si="9"/>
        <v>0</v>
      </c>
      <c r="E9" s="2">
        <f>+E7-E8</f>
        <v>78.649999999999977</v>
      </c>
      <c r="F9" s="2">
        <f>+F7-F8</f>
        <v>0</v>
      </c>
      <c r="G9" s="2">
        <f t="shared" si="9"/>
        <v>113.81800000000001</v>
      </c>
      <c r="H9" s="2">
        <f t="shared" si="9"/>
        <v>158.99399999999997</v>
      </c>
      <c r="I9" s="2">
        <f t="shared" si="9"/>
        <v>194.08199999999999</v>
      </c>
      <c r="J9" s="2">
        <f t="shared" si="9"/>
        <v>0</v>
      </c>
      <c r="K9" s="2">
        <f t="shared" si="9"/>
        <v>182.20700000000002</v>
      </c>
      <c r="L9" s="2">
        <f>+L7-L8</f>
        <v>209.09800000000004</v>
      </c>
      <c r="Q9" s="2">
        <f t="shared" ref="Q9:Z9" si="10">+Q7-Q8</f>
        <v>128.16899999999998</v>
      </c>
      <c r="R9" s="2">
        <f t="shared" si="10"/>
        <v>270.86900000000003</v>
      </c>
      <c r="S9" s="2">
        <f t="shared" si="10"/>
        <v>633.1389999999999</v>
      </c>
      <c r="T9" s="2">
        <f t="shared" si="10"/>
        <v>801.87971759999994</v>
      </c>
      <c r="U9" s="2">
        <f t="shared" si="10"/>
        <v>938.19926959199984</v>
      </c>
      <c r="V9" s="2">
        <f t="shared" si="10"/>
        <v>1097.6931454226396</v>
      </c>
      <c r="W9" s="2">
        <f t="shared" si="10"/>
        <v>1284.3009801444882</v>
      </c>
      <c r="X9" s="2">
        <f t="shared" si="10"/>
        <v>1502.6321467690511</v>
      </c>
      <c r="Y9" s="2">
        <f t="shared" si="10"/>
        <v>1758.0796117197899</v>
      </c>
      <c r="Z9" s="2">
        <f t="shared" si="10"/>
        <v>2056.9531457121539</v>
      </c>
    </row>
    <row r="10" spans="1:29" x14ac:dyDescent="0.25">
      <c r="B10" s="1" t="s">
        <v>22</v>
      </c>
      <c r="C10" s="2"/>
      <c r="D10" s="2"/>
      <c r="E10" s="2">
        <v>226.249</v>
      </c>
      <c r="F10" s="2"/>
      <c r="G10" s="2">
        <v>68.905000000000001</v>
      </c>
      <c r="H10" s="2">
        <v>94.180999999999997</v>
      </c>
      <c r="I10" s="2">
        <v>96.385000000000005</v>
      </c>
      <c r="J10" s="2"/>
      <c r="K10" s="2">
        <v>99.016999999999996</v>
      </c>
      <c r="L10" s="2">
        <v>114.85</v>
      </c>
      <c r="Q10" s="2">
        <v>132.25899999999999</v>
      </c>
      <c r="R10" s="2">
        <v>428.67</v>
      </c>
      <c r="S10" s="2">
        <v>366.77300000000002</v>
      </c>
      <c r="T10" s="2">
        <f>+S10*1.1</f>
        <v>403.45030000000008</v>
      </c>
      <c r="U10" s="2">
        <f t="shared" ref="U10:Z10" si="11">+T10*1.1</f>
        <v>443.79533000000015</v>
      </c>
      <c r="V10" s="2">
        <f t="shared" si="11"/>
        <v>488.17486300000019</v>
      </c>
      <c r="W10" s="2">
        <f t="shared" si="11"/>
        <v>536.99234930000023</v>
      </c>
      <c r="X10" s="2">
        <f t="shared" si="11"/>
        <v>590.69158423000033</v>
      </c>
      <c r="Y10" s="2">
        <f t="shared" si="11"/>
        <v>649.76074265300042</v>
      </c>
      <c r="Z10" s="2">
        <f t="shared" si="11"/>
        <v>714.73681691830052</v>
      </c>
    </row>
    <row r="11" spans="1:29" x14ac:dyDescent="0.25">
      <c r="B11" s="3" t="s">
        <v>23</v>
      </c>
      <c r="C11" s="4">
        <f t="shared" ref="C11:K11" si="12">+C9-C10</f>
        <v>0</v>
      </c>
      <c r="D11" s="4">
        <f t="shared" si="12"/>
        <v>0</v>
      </c>
      <c r="E11" s="4">
        <f t="shared" si="12"/>
        <v>-147.59900000000002</v>
      </c>
      <c r="F11" s="4">
        <f t="shared" si="12"/>
        <v>0</v>
      </c>
      <c r="G11" s="4">
        <f t="shared" si="12"/>
        <v>44.913000000000011</v>
      </c>
      <c r="H11" s="4">
        <f t="shared" si="12"/>
        <v>64.812999999999974</v>
      </c>
      <c r="I11" s="4">
        <f t="shared" si="12"/>
        <v>97.696999999999989</v>
      </c>
      <c r="J11" s="4">
        <f t="shared" si="12"/>
        <v>0</v>
      </c>
      <c r="K11" s="4">
        <f t="shared" si="12"/>
        <v>83.190000000000026</v>
      </c>
      <c r="L11" s="4">
        <f>+L9-L10</f>
        <v>94.248000000000047</v>
      </c>
      <c r="Q11" s="4">
        <f t="shared" ref="Q11:Z11" si="13">+Q9-Q10</f>
        <v>-4.0900000000000034</v>
      </c>
      <c r="R11" s="4">
        <f t="shared" si="13"/>
        <v>-157.80099999999999</v>
      </c>
      <c r="S11" s="4">
        <f t="shared" si="13"/>
        <v>266.36599999999987</v>
      </c>
      <c r="T11" s="4">
        <f t="shared" si="13"/>
        <v>398.42941759999985</v>
      </c>
      <c r="U11" s="4">
        <f t="shared" si="13"/>
        <v>494.40393959199969</v>
      </c>
      <c r="V11" s="4">
        <f t="shared" si="13"/>
        <v>609.51828242263946</v>
      </c>
      <c r="W11" s="4">
        <f t="shared" si="13"/>
        <v>747.30863084448799</v>
      </c>
      <c r="X11" s="4">
        <f t="shared" si="13"/>
        <v>911.9405625390508</v>
      </c>
      <c r="Y11" s="4">
        <f t="shared" si="13"/>
        <v>1108.3188690667894</v>
      </c>
      <c r="Z11" s="4">
        <f t="shared" si="13"/>
        <v>1342.2163287938533</v>
      </c>
    </row>
    <row r="12" spans="1:29" x14ac:dyDescent="0.25">
      <c r="B12" s="1" t="s">
        <v>24</v>
      </c>
      <c r="E12" s="1">
        <f>0.053+1.396</f>
        <v>1.4489999999999998</v>
      </c>
      <c r="G12" s="1">
        <f>0.045+4.924</f>
        <v>4.9690000000000003</v>
      </c>
      <c r="H12" s="1">
        <f>0.028+5.545</f>
        <v>5.5729999999999995</v>
      </c>
      <c r="I12" s="1">
        <f>0.028+7.197</f>
        <v>7.2249999999999996</v>
      </c>
      <c r="K12" s="1">
        <f>0.028+9.612</f>
        <v>9.64</v>
      </c>
      <c r="L12" s="1">
        <v>10.647</v>
      </c>
      <c r="Q12" s="2">
        <f>-0.008+0.315</f>
        <v>0.307</v>
      </c>
      <c r="R12" s="2">
        <f>5.292+0.237</f>
        <v>5.5289999999999999</v>
      </c>
      <c r="S12" s="2">
        <f>26.501+0.128</f>
        <v>26.629000000000001</v>
      </c>
      <c r="T12" s="2">
        <f>+S69*$AC$4</f>
        <v>45.150000000000006</v>
      </c>
      <c r="U12" s="2">
        <f t="shared" ref="U12:Z12" si="14">+T69*$AC$4</f>
        <v>60.171386995199988</v>
      </c>
      <c r="V12" s="2">
        <f t="shared" si="14"/>
        <v>79.57711239539438</v>
      </c>
      <c r="W12" s="2">
        <f t="shared" si="14"/>
        <v>104.29638049070672</v>
      </c>
      <c r="X12" s="2">
        <f t="shared" si="14"/>
        <v>135.43477843844693</v>
      </c>
      <c r="Y12" s="2">
        <f t="shared" si="14"/>
        <v>174.30610440705809</v>
      </c>
      <c r="Z12" s="2">
        <f t="shared" si="14"/>
        <v>222.46979085927507</v>
      </c>
    </row>
    <row r="13" spans="1:29" x14ac:dyDescent="0.25">
      <c r="B13" s="1" t="s">
        <v>25</v>
      </c>
      <c r="E13" s="1">
        <v>0.254</v>
      </c>
      <c r="G13" s="1">
        <v>-0.11799999999999999</v>
      </c>
      <c r="H13" s="1">
        <v>-0.93100000000000005</v>
      </c>
      <c r="I13" s="1">
        <v>-0.17699999999999999</v>
      </c>
      <c r="K13" s="1">
        <v>-0.36899999999999999</v>
      </c>
      <c r="L13" s="1">
        <v>-0.26400000000000001</v>
      </c>
      <c r="Q13" s="2">
        <v>-0.27600000000000002</v>
      </c>
      <c r="R13" s="2">
        <v>-0.39200000000000002</v>
      </c>
      <c r="S13" s="2">
        <v>-1.246</v>
      </c>
      <c r="T13" s="2"/>
      <c r="U13" s="2"/>
      <c r="V13" s="2"/>
      <c r="W13" s="2"/>
      <c r="X13" s="2"/>
      <c r="Y13" s="2"/>
      <c r="Z13" s="2"/>
    </row>
    <row r="14" spans="1:29" x14ac:dyDescent="0.25">
      <c r="B14" s="1" t="s">
        <v>29</v>
      </c>
      <c r="C14" s="2">
        <f t="shared" ref="C14:K14" si="15">+C11+C12+C13</f>
        <v>0</v>
      </c>
      <c r="D14" s="2">
        <f t="shared" si="15"/>
        <v>0</v>
      </c>
      <c r="E14" s="2">
        <f t="shared" si="15"/>
        <v>-145.89600000000002</v>
      </c>
      <c r="F14" s="2">
        <f t="shared" si="15"/>
        <v>0</v>
      </c>
      <c r="G14" s="2">
        <f t="shared" si="15"/>
        <v>49.76400000000001</v>
      </c>
      <c r="H14" s="2">
        <f t="shared" si="15"/>
        <v>69.45499999999997</v>
      </c>
      <c r="I14" s="2">
        <f t="shared" si="15"/>
        <v>104.74499999999998</v>
      </c>
      <c r="J14" s="2">
        <f t="shared" si="15"/>
        <v>0</v>
      </c>
      <c r="K14" s="2">
        <f t="shared" si="15"/>
        <v>92.461000000000027</v>
      </c>
      <c r="L14" s="2">
        <f>+L11+L12+L13</f>
        <v>104.63100000000006</v>
      </c>
      <c r="Q14" s="2">
        <f t="shared" ref="Q14:Z14" si="16">+Q11+Q12+Q13</f>
        <v>-4.0590000000000037</v>
      </c>
      <c r="R14" s="2">
        <f t="shared" si="16"/>
        <v>-152.66399999999999</v>
      </c>
      <c r="S14" s="2">
        <f t="shared" si="16"/>
        <v>291.74899999999991</v>
      </c>
      <c r="T14" s="2">
        <f t="shared" si="16"/>
        <v>443.57941759999983</v>
      </c>
      <c r="U14" s="2">
        <f t="shared" si="16"/>
        <v>554.5753265871997</v>
      </c>
      <c r="V14" s="2">
        <f t="shared" si="16"/>
        <v>689.09539481803381</v>
      </c>
      <c r="W14" s="2">
        <f t="shared" si="16"/>
        <v>851.60501133519472</v>
      </c>
      <c r="X14" s="2">
        <f t="shared" si="16"/>
        <v>1047.3753409774977</v>
      </c>
      <c r="Y14" s="2">
        <f t="shared" si="16"/>
        <v>1282.6249734738474</v>
      </c>
      <c r="Z14" s="2">
        <f t="shared" si="16"/>
        <v>1564.6861196531283</v>
      </c>
    </row>
    <row r="15" spans="1:29" x14ac:dyDescent="0.25">
      <c r="B15" s="1" t="s">
        <v>30</v>
      </c>
      <c r="C15" s="2"/>
      <c r="D15" s="2"/>
      <c r="E15" s="2">
        <v>35.491999999999997</v>
      </c>
      <c r="F15" s="2"/>
      <c r="G15" s="2">
        <v>8.5370000000000008</v>
      </c>
      <c r="H15" s="2">
        <v>17.946000000000002</v>
      </c>
      <c r="I15" s="2">
        <v>20.795999999999999</v>
      </c>
      <c r="J15" s="2"/>
      <c r="K15" s="2">
        <v>14.65</v>
      </c>
      <c r="L15" s="2">
        <v>24.847999999999999</v>
      </c>
      <c r="Q15" s="2">
        <v>-7.9960000000000004</v>
      </c>
      <c r="R15" s="2">
        <v>34.618000000000002</v>
      </c>
      <c r="S15" s="2">
        <v>64.947999999999993</v>
      </c>
      <c r="T15" s="2">
        <f>+T14*0.21</f>
        <v>93.151677695999965</v>
      </c>
      <c r="U15" s="2">
        <f t="shared" ref="U15:Z15" si="17">+U14*0.21</f>
        <v>116.46081858331193</v>
      </c>
      <c r="V15" s="2">
        <f t="shared" si="17"/>
        <v>144.7100329117871</v>
      </c>
      <c r="W15" s="2">
        <f t="shared" si="17"/>
        <v>178.83705238039087</v>
      </c>
      <c r="X15" s="2">
        <f t="shared" si="17"/>
        <v>219.9488216052745</v>
      </c>
      <c r="Y15" s="2">
        <f t="shared" si="17"/>
        <v>269.35124442950791</v>
      </c>
      <c r="Z15" s="2">
        <f t="shared" si="17"/>
        <v>328.58408512715692</v>
      </c>
    </row>
    <row r="16" spans="1:29" s="3" customFormat="1" x14ac:dyDescent="0.25">
      <c r="B16" s="1" t="s">
        <v>26</v>
      </c>
      <c r="C16" s="2">
        <f t="shared" ref="C16:K16" si="18">+C14-C15</f>
        <v>0</v>
      </c>
      <c r="D16" s="2">
        <f t="shared" si="18"/>
        <v>0</v>
      </c>
      <c r="E16" s="2">
        <f t="shared" si="18"/>
        <v>-181.38800000000001</v>
      </c>
      <c r="F16" s="2">
        <f t="shared" si="18"/>
        <v>0</v>
      </c>
      <c r="G16" s="2">
        <f t="shared" si="18"/>
        <v>41.227000000000011</v>
      </c>
      <c r="H16" s="2">
        <f t="shared" si="18"/>
        <v>51.508999999999972</v>
      </c>
      <c r="I16" s="2">
        <f t="shared" si="18"/>
        <v>83.948999999999984</v>
      </c>
      <c r="J16" s="2">
        <f t="shared" si="18"/>
        <v>0</v>
      </c>
      <c r="K16" s="2">
        <f t="shared" si="18"/>
        <v>77.811000000000021</v>
      </c>
      <c r="L16" s="2">
        <f>+L14-L15</f>
        <v>79.783000000000058</v>
      </c>
      <c r="Q16" s="2">
        <f t="shared" ref="Q16:Z16" si="19">+Q14-Q15</f>
        <v>3.9369999999999967</v>
      </c>
      <c r="R16" s="2">
        <f t="shared" si="19"/>
        <v>-187.28199999999998</v>
      </c>
      <c r="S16" s="2">
        <f t="shared" si="19"/>
        <v>226.80099999999993</v>
      </c>
      <c r="T16" s="2">
        <f t="shared" si="19"/>
        <v>350.42773990399985</v>
      </c>
      <c r="U16" s="2">
        <f t="shared" si="19"/>
        <v>438.11450800388775</v>
      </c>
      <c r="V16" s="2">
        <f t="shared" si="19"/>
        <v>544.38536190624677</v>
      </c>
      <c r="W16" s="2">
        <f t="shared" si="19"/>
        <v>672.76795895480382</v>
      </c>
      <c r="X16" s="2">
        <f t="shared" si="19"/>
        <v>827.4265193722232</v>
      </c>
      <c r="Y16" s="2">
        <f t="shared" si="19"/>
        <v>1013.2737290443395</v>
      </c>
      <c r="Z16" s="2">
        <f t="shared" si="19"/>
        <v>1236.1020345259715</v>
      </c>
    </row>
    <row r="17" spans="2:68" s="3" customFormat="1" x14ac:dyDescent="0.25">
      <c r="B17" s="1" t="s">
        <v>31</v>
      </c>
      <c r="C17" s="2"/>
      <c r="D17" s="2"/>
      <c r="E17" s="2">
        <v>4.5960000000000001</v>
      </c>
      <c r="F17" s="2"/>
      <c r="G17" s="2">
        <f>6.781+2.934</f>
        <v>9.7149999999999999</v>
      </c>
      <c r="H17" s="2">
        <f>6.856+3.89</f>
        <v>10.746</v>
      </c>
      <c r="I17" s="2">
        <f>6.875+6.54</f>
        <v>13.414999999999999</v>
      </c>
      <c r="J17" s="2"/>
      <c r="K17" s="2">
        <f>6.837+6.128</f>
        <v>12.965</v>
      </c>
      <c r="L17" s="2">
        <f>6.838+6.289</f>
        <v>13.126999999999999</v>
      </c>
      <c r="M17" s="1"/>
      <c r="N17" s="1"/>
      <c r="Q17" s="2">
        <v>0</v>
      </c>
      <c r="R17" s="2">
        <v>11.526</v>
      </c>
      <c r="S17" s="2">
        <f>27.462+17.348</f>
        <v>44.81</v>
      </c>
      <c r="T17" s="2">
        <v>50</v>
      </c>
      <c r="U17" s="2">
        <v>50</v>
      </c>
      <c r="V17" s="2">
        <v>50</v>
      </c>
      <c r="W17" s="2">
        <v>50</v>
      </c>
      <c r="X17" s="2">
        <v>50</v>
      </c>
      <c r="Y17" s="2">
        <v>50</v>
      </c>
      <c r="Z17" s="2">
        <v>50</v>
      </c>
    </row>
    <row r="18" spans="2:68" s="3" customFormat="1" x14ac:dyDescent="0.25">
      <c r="B18" s="3" t="s">
        <v>32</v>
      </c>
      <c r="C18" s="4">
        <f t="shared" ref="C18:K18" si="20">+C16-C17</f>
        <v>0</v>
      </c>
      <c r="D18" s="4">
        <f t="shared" si="20"/>
        <v>0</v>
      </c>
      <c r="E18" s="4">
        <f t="shared" si="20"/>
        <v>-185.98400000000001</v>
      </c>
      <c r="F18" s="4">
        <f t="shared" si="20"/>
        <v>0</v>
      </c>
      <c r="G18" s="4">
        <f t="shared" si="20"/>
        <v>31.512000000000011</v>
      </c>
      <c r="H18" s="4">
        <f t="shared" si="20"/>
        <v>40.76299999999997</v>
      </c>
      <c r="I18" s="4">
        <f t="shared" si="20"/>
        <v>70.533999999999992</v>
      </c>
      <c r="J18" s="4">
        <f t="shared" si="20"/>
        <v>0</v>
      </c>
      <c r="K18" s="4">
        <f t="shared" si="20"/>
        <v>64.846000000000018</v>
      </c>
      <c r="L18" s="4">
        <f>+L16-L17</f>
        <v>66.656000000000063</v>
      </c>
      <c r="Q18" s="4">
        <f t="shared" ref="Q18:Z18" si="21">+Q16-Q17</f>
        <v>3.9369999999999967</v>
      </c>
      <c r="R18" s="4">
        <f t="shared" si="21"/>
        <v>-198.80799999999999</v>
      </c>
      <c r="S18" s="4">
        <f t="shared" si="21"/>
        <v>181.99099999999993</v>
      </c>
      <c r="T18" s="4">
        <f t="shared" si="21"/>
        <v>300.42773990399985</v>
      </c>
      <c r="U18" s="4">
        <f t="shared" si="21"/>
        <v>388.11450800388775</v>
      </c>
      <c r="V18" s="4">
        <f t="shared" si="21"/>
        <v>494.38536190624677</v>
      </c>
      <c r="W18" s="4">
        <f t="shared" si="21"/>
        <v>622.76795895480382</v>
      </c>
      <c r="X18" s="4">
        <f t="shared" si="21"/>
        <v>777.4265193722232</v>
      </c>
      <c r="Y18" s="4">
        <f t="shared" si="21"/>
        <v>963.27372904433946</v>
      </c>
      <c r="Z18" s="4">
        <f t="shared" si="21"/>
        <v>1186.1020345259715</v>
      </c>
      <c r="AA18" s="4">
        <f>+Z18*(1+$AC$3)</f>
        <v>1209.8240752164909</v>
      </c>
      <c r="AB18" s="4">
        <f t="shared" ref="AB18:BP18" si="22">+AA18*(1+$AC$3)</f>
        <v>1234.0205567208207</v>
      </c>
      <c r="AC18" s="4">
        <f t="shared" si="22"/>
        <v>1258.7009678552372</v>
      </c>
      <c r="AD18" s="4">
        <f t="shared" si="22"/>
        <v>1283.8749872123419</v>
      </c>
      <c r="AE18" s="4">
        <f t="shared" si="22"/>
        <v>1309.5524869565888</v>
      </c>
      <c r="AF18" s="4">
        <f t="shared" si="22"/>
        <v>1335.7435366957206</v>
      </c>
      <c r="AG18" s="4">
        <f t="shared" si="22"/>
        <v>1362.4584074296351</v>
      </c>
      <c r="AH18" s="4">
        <f t="shared" si="22"/>
        <v>1389.7075755782278</v>
      </c>
      <c r="AI18" s="4">
        <f t="shared" si="22"/>
        <v>1417.5017270897924</v>
      </c>
      <c r="AJ18" s="4">
        <f t="shared" si="22"/>
        <v>1445.8517616315883</v>
      </c>
      <c r="AK18" s="4">
        <f t="shared" si="22"/>
        <v>1474.7687968642201</v>
      </c>
      <c r="AL18" s="4">
        <f t="shared" si="22"/>
        <v>1504.2641728015046</v>
      </c>
      <c r="AM18" s="4">
        <f t="shared" si="22"/>
        <v>1534.3494562575347</v>
      </c>
      <c r="AN18" s="4">
        <f t="shared" si="22"/>
        <v>1565.0364453826855</v>
      </c>
      <c r="AO18" s="4">
        <f t="shared" si="22"/>
        <v>1596.3371742903394</v>
      </c>
      <c r="AP18" s="4">
        <f t="shared" si="22"/>
        <v>1628.2639177761462</v>
      </c>
      <c r="AQ18" s="4">
        <f t="shared" si="22"/>
        <v>1660.8291961316691</v>
      </c>
      <c r="AR18" s="4">
        <f t="shared" si="22"/>
        <v>1694.0457800543024</v>
      </c>
      <c r="AS18" s="4">
        <f t="shared" si="22"/>
        <v>1727.9266956553886</v>
      </c>
      <c r="AT18" s="4">
        <f t="shared" si="22"/>
        <v>1762.4852295684964</v>
      </c>
      <c r="AU18" s="4">
        <f t="shared" si="22"/>
        <v>1797.7349341598663</v>
      </c>
      <c r="AV18" s="4">
        <f t="shared" si="22"/>
        <v>1833.6896328430637</v>
      </c>
      <c r="AW18" s="4">
        <f t="shared" si="22"/>
        <v>1870.3634254999249</v>
      </c>
      <c r="AX18" s="4">
        <f t="shared" si="22"/>
        <v>1907.7706940099235</v>
      </c>
      <c r="AY18" s="4">
        <f t="shared" si="22"/>
        <v>1945.926107890122</v>
      </c>
      <c r="AZ18" s="4">
        <f t="shared" si="22"/>
        <v>1984.8446300479245</v>
      </c>
      <c r="BA18" s="4">
        <f t="shared" si="22"/>
        <v>2024.5415226488831</v>
      </c>
      <c r="BB18" s="4">
        <f t="shared" si="22"/>
        <v>2065.0323531018607</v>
      </c>
      <c r="BC18" s="4">
        <f t="shared" si="22"/>
        <v>2106.3330001638979</v>
      </c>
      <c r="BD18" s="4">
        <f t="shared" si="22"/>
        <v>2148.459660167176</v>
      </c>
      <c r="BE18" s="4">
        <f t="shared" si="22"/>
        <v>2191.4288533705194</v>
      </c>
      <c r="BF18" s="4">
        <f t="shared" si="22"/>
        <v>2235.25743043793</v>
      </c>
      <c r="BG18" s="4">
        <f t="shared" si="22"/>
        <v>2279.9625790466885</v>
      </c>
      <c r="BH18" s="4">
        <f t="shared" si="22"/>
        <v>2325.5618306276224</v>
      </c>
      <c r="BI18" s="4">
        <f t="shared" si="22"/>
        <v>2372.0730672401751</v>
      </c>
      <c r="BJ18" s="4">
        <f t="shared" si="22"/>
        <v>2419.5145285849785</v>
      </c>
      <c r="BK18" s="4">
        <f t="shared" si="22"/>
        <v>2467.9048191566781</v>
      </c>
      <c r="BL18" s="4">
        <f t="shared" si="22"/>
        <v>2517.2629155398117</v>
      </c>
      <c r="BM18" s="4">
        <f t="shared" si="22"/>
        <v>2567.6081738506082</v>
      </c>
      <c r="BN18" s="4">
        <f t="shared" si="22"/>
        <v>2618.9603373276204</v>
      </c>
      <c r="BO18" s="4">
        <f t="shared" si="22"/>
        <v>2671.3395440741729</v>
      </c>
      <c r="BP18" s="4">
        <f t="shared" si="22"/>
        <v>2724.7663349556565</v>
      </c>
    </row>
    <row r="19" spans="2:68" x14ac:dyDescent="0.25">
      <c r="B19" s="1" t="s">
        <v>27</v>
      </c>
      <c r="G19" s="1">
        <v>236.27699999999999</v>
      </c>
      <c r="H19" s="1">
        <v>236.83199999999999</v>
      </c>
      <c r="K19" s="1">
        <v>237.523</v>
      </c>
      <c r="L19" s="1">
        <v>237.595</v>
      </c>
      <c r="Q19" s="1">
        <v>233.06700000000001</v>
      </c>
      <c r="R19" s="1">
        <v>226.947</v>
      </c>
      <c r="S19" s="1">
        <v>236.964</v>
      </c>
    </row>
    <row r="20" spans="2:68" x14ac:dyDescent="0.25">
      <c r="B20" s="1" t="s">
        <v>28</v>
      </c>
      <c r="C20" s="5" t="e">
        <f t="shared" ref="C20:K20" si="23">+C18/C19</f>
        <v>#DIV/0!</v>
      </c>
      <c r="D20" s="5" t="e">
        <f t="shared" si="23"/>
        <v>#DIV/0!</v>
      </c>
      <c r="E20" s="5" t="e">
        <f t="shared" si="23"/>
        <v>#DIV/0!</v>
      </c>
      <c r="F20" s="5" t="e">
        <f t="shared" si="23"/>
        <v>#DIV/0!</v>
      </c>
      <c r="G20" s="5">
        <f t="shared" si="23"/>
        <v>0.13336888482586123</v>
      </c>
      <c r="H20" s="5">
        <f t="shared" si="23"/>
        <v>0.17211778813673814</v>
      </c>
      <c r="I20" s="5" t="e">
        <f t="shared" si="23"/>
        <v>#DIV/0!</v>
      </c>
      <c r="J20" s="5" t="e">
        <f t="shared" si="23"/>
        <v>#DIV/0!</v>
      </c>
      <c r="K20" s="5">
        <f t="shared" si="23"/>
        <v>0.27300935067340854</v>
      </c>
      <c r="L20" s="5">
        <f>+L18/L19</f>
        <v>0.2805446242555612</v>
      </c>
      <c r="Q20" s="5">
        <f t="shared" ref="Q20:Z20" si="24">+Q18/Q19</f>
        <v>1.689213831215915E-2</v>
      </c>
      <c r="R20" s="5">
        <f t="shared" si="24"/>
        <v>-0.87601069853313762</v>
      </c>
      <c r="S20" s="5">
        <f t="shared" si="24"/>
        <v>0.76801117469320201</v>
      </c>
      <c r="T20" s="5" t="e">
        <f t="shared" si="24"/>
        <v>#DIV/0!</v>
      </c>
      <c r="U20" s="5" t="e">
        <f t="shared" si="24"/>
        <v>#DIV/0!</v>
      </c>
      <c r="V20" s="5" t="e">
        <f t="shared" si="24"/>
        <v>#DIV/0!</v>
      </c>
      <c r="W20" s="5" t="e">
        <f t="shared" si="24"/>
        <v>#DIV/0!</v>
      </c>
      <c r="X20" s="5" t="e">
        <f t="shared" si="24"/>
        <v>#DIV/0!</v>
      </c>
      <c r="Y20" s="5" t="e">
        <f t="shared" si="24"/>
        <v>#DIV/0!</v>
      </c>
      <c r="Z20" s="5" t="e">
        <f t="shared" si="24"/>
        <v>#DIV/0!</v>
      </c>
    </row>
    <row r="22" spans="2:68" x14ac:dyDescent="0.25">
      <c r="B22" s="1" t="s">
        <v>109</v>
      </c>
      <c r="I22" s="7">
        <f t="shared" ref="I22:L25" si="25">+I2/E2-1</f>
        <v>1.0673717980851172</v>
      </c>
      <c r="K22" s="7">
        <f t="shared" si="25"/>
        <v>0.36595963822459687</v>
      </c>
      <c r="L22" s="7">
        <f t="shared" si="25"/>
        <v>0.23015620224249145</v>
      </c>
      <c r="R22" s="7">
        <f>+R2/Q2-1</f>
        <v>1.261705829563561</v>
      </c>
      <c r="S22" s="7">
        <f>+S2/R2-1</f>
        <v>1.0460388334734239</v>
      </c>
      <c r="T22" s="7">
        <f t="shared" ref="T22:Z22" si="26">+T2/S2-1</f>
        <v>0.22999999999999998</v>
      </c>
      <c r="U22" s="7">
        <f t="shared" si="26"/>
        <v>0.19999999999999996</v>
      </c>
      <c r="V22" s="7">
        <f t="shared" si="26"/>
        <v>0.17999999999999994</v>
      </c>
      <c r="W22" s="7">
        <f t="shared" si="26"/>
        <v>0.15500000000000003</v>
      </c>
      <c r="X22" s="7">
        <f t="shared" si="26"/>
        <v>0.12999999999999989</v>
      </c>
      <c r="Y22" s="7">
        <f t="shared" si="26"/>
        <v>0.12000000000000011</v>
      </c>
      <c r="Z22" s="7">
        <f t="shared" si="26"/>
        <v>0.10000000000000009</v>
      </c>
    </row>
    <row r="23" spans="2:68" x14ac:dyDescent="0.25">
      <c r="B23" s="1" t="s">
        <v>110</v>
      </c>
      <c r="I23" s="7">
        <f t="shared" si="25"/>
        <v>0.46276172806785043</v>
      </c>
      <c r="K23" s="7">
        <f t="shared" si="25"/>
        <v>0.63453536754507645</v>
      </c>
      <c r="L23" s="7">
        <f t="shared" si="25"/>
        <v>0.40095725921571912</v>
      </c>
      <c r="R23" s="7">
        <f t="shared" ref="R23:S23" si="27">+R3/Q3-1</f>
        <v>-0.18487019975326147</v>
      </c>
      <c r="S23" s="7">
        <f t="shared" si="27"/>
        <v>0.40793456559541452</v>
      </c>
      <c r="T23" s="7">
        <f t="shared" ref="T23:Z23" si="28">+T3/S3-1</f>
        <v>0.39999999999999991</v>
      </c>
      <c r="U23" s="7">
        <f t="shared" si="28"/>
        <v>0.39999999999999991</v>
      </c>
      <c r="V23" s="7">
        <f t="shared" si="28"/>
        <v>0.39999999999999991</v>
      </c>
      <c r="W23" s="7">
        <f t="shared" si="28"/>
        <v>0.39999999999999991</v>
      </c>
      <c r="X23" s="7">
        <f t="shared" si="28"/>
        <v>0.39999999999999991</v>
      </c>
      <c r="Y23" s="7">
        <f t="shared" si="28"/>
        <v>0.39999999999999991</v>
      </c>
      <c r="Z23" s="7">
        <f t="shared" si="28"/>
        <v>0.39999999999999991</v>
      </c>
    </row>
    <row r="24" spans="2:68" x14ac:dyDescent="0.25">
      <c r="B24" s="1" t="s">
        <v>111</v>
      </c>
      <c r="I24" s="7">
        <f t="shared" si="25"/>
        <v>0.29356846473029052</v>
      </c>
      <c r="K24" s="7">
        <f t="shared" si="25"/>
        <v>-0.46343402225755159</v>
      </c>
      <c r="L24" s="7">
        <f t="shared" si="25"/>
        <v>-0.46450809464508103</v>
      </c>
      <c r="R24" s="7">
        <f t="shared" ref="R24:S24" si="29">+R4/Q4-1</f>
        <v>0.43695823483057539</v>
      </c>
      <c r="S24" s="7">
        <f t="shared" si="29"/>
        <v>0.30381135179599683</v>
      </c>
      <c r="T24" s="7">
        <f t="shared" ref="T24:Z24" si="30">+T4/S4-1</f>
        <v>0.30000000000000004</v>
      </c>
      <c r="U24" s="7">
        <f t="shared" si="30"/>
        <v>0.30000000000000004</v>
      </c>
      <c r="V24" s="7">
        <f t="shared" si="30"/>
        <v>0.30000000000000004</v>
      </c>
      <c r="W24" s="7">
        <f t="shared" si="30"/>
        <v>0.30000000000000004</v>
      </c>
      <c r="X24" s="7">
        <f t="shared" si="30"/>
        <v>0.30000000000000004</v>
      </c>
      <c r="Y24" s="7">
        <f t="shared" si="30"/>
        <v>0.30000000000000004</v>
      </c>
      <c r="Z24" s="7">
        <f t="shared" si="30"/>
        <v>0.30000000000000004</v>
      </c>
    </row>
    <row r="25" spans="2:68" x14ac:dyDescent="0.25">
      <c r="B25" s="1" t="s">
        <v>112</v>
      </c>
      <c r="I25" s="7">
        <f t="shared" si="25"/>
        <v>6.1098901098901104</v>
      </c>
      <c r="K25" s="7">
        <f t="shared" si="25"/>
        <v>-6.6350710900473953E-2</v>
      </c>
      <c r="L25" s="7">
        <f t="shared" si="25"/>
        <v>0.34063103670315509</v>
      </c>
      <c r="R25" s="7">
        <f t="shared" ref="R25:S25" si="31">+R5/Q5-1</f>
        <v>1.2879746835443036</v>
      </c>
      <c r="S25" s="7">
        <f t="shared" si="31"/>
        <v>3.2849239280774549</v>
      </c>
      <c r="T25" s="7">
        <f t="shared" ref="T25:Z25" si="32">+T5/S5-1</f>
        <v>0.98999999999999977</v>
      </c>
      <c r="U25" s="7">
        <f t="shared" si="32"/>
        <v>0.98999999999999977</v>
      </c>
      <c r="V25" s="7">
        <f t="shared" si="32"/>
        <v>0.50000000000000022</v>
      </c>
      <c r="W25" s="7">
        <f t="shared" si="32"/>
        <v>0.39999999999999991</v>
      </c>
      <c r="X25" s="7">
        <f t="shared" si="32"/>
        <v>0.39999999999999991</v>
      </c>
      <c r="Y25" s="7">
        <f t="shared" si="32"/>
        <v>0.39999999999999991</v>
      </c>
      <c r="Z25" s="7">
        <f t="shared" si="32"/>
        <v>0.39999999999999991</v>
      </c>
    </row>
    <row r="26" spans="2:68" x14ac:dyDescent="0.25">
      <c r="B26" s="3" t="s">
        <v>33</v>
      </c>
      <c r="C26" s="9"/>
      <c r="D26" s="9"/>
      <c r="E26" s="9"/>
      <c r="F26" s="9"/>
      <c r="G26" s="9"/>
      <c r="H26" s="9" t="e">
        <f>+H7/D7-1</f>
        <v>#DIV/0!</v>
      </c>
      <c r="I26" s="9">
        <f t="shared" ref="I26:K26" si="33">+I7/E7-1</f>
        <v>1.044046474316406</v>
      </c>
      <c r="J26" s="9"/>
      <c r="K26" s="9">
        <f t="shared" si="33"/>
        <v>0.36842874674442849</v>
      </c>
      <c r="L26" s="9">
        <f>+L7/H7-1</f>
        <v>0.23350098041321599</v>
      </c>
      <c r="R26" s="7">
        <f t="shared" ref="R26" si="34">+R7/Q7-1</f>
        <v>1.0797398431931575</v>
      </c>
      <c r="S26" s="7">
        <f>+S7/R7-1</f>
        <v>1.0165329465547943</v>
      </c>
      <c r="T26" s="7">
        <f t="shared" ref="T26:Z26" si="35">+T7/S7-1</f>
        <v>0.16999999999999993</v>
      </c>
      <c r="U26" s="7">
        <f t="shared" si="35"/>
        <v>0.16999999999999993</v>
      </c>
      <c r="V26" s="7">
        <f t="shared" si="35"/>
        <v>0.16999999999999971</v>
      </c>
      <c r="W26" s="7">
        <f t="shared" si="35"/>
        <v>0.16999999999999993</v>
      </c>
      <c r="X26" s="7">
        <f t="shared" si="35"/>
        <v>0.16999999999999993</v>
      </c>
      <c r="Y26" s="7">
        <f t="shared" si="35"/>
        <v>0.16999999999999993</v>
      </c>
      <c r="Z26" s="7">
        <f t="shared" si="35"/>
        <v>0.16999999999999993</v>
      </c>
    </row>
    <row r="27" spans="2:68" x14ac:dyDescent="0.25"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2:68" x14ac:dyDescent="0.25">
      <c r="B28" s="1" t="s">
        <v>34</v>
      </c>
      <c r="C28" s="7"/>
      <c r="D28" s="7"/>
      <c r="E28" s="7"/>
      <c r="F28" s="7"/>
      <c r="G28" s="7">
        <f t="shared" ref="G28" si="36">+G9/G7</f>
        <v>0.43786426815522106</v>
      </c>
      <c r="H28" s="7">
        <f>+H9/H7</f>
        <v>0.48788675690355121</v>
      </c>
      <c r="I28" s="7"/>
      <c r="J28" s="7"/>
      <c r="K28" s="7">
        <f t="shared" ref="K28" si="37">+K9/K7</f>
        <v>0.51223756564373024</v>
      </c>
      <c r="L28" s="7">
        <f>+L9/L7</f>
        <v>0.52017403980824783</v>
      </c>
      <c r="Q28" s="7">
        <f t="shared" ref="Q28:R28" si="38">+Q9/Q7</f>
        <v>0.40782825068730266</v>
      </c>
      <c r="R28" s="7">
        <f t="shared" si="38"/>
        <v>0.41442371833709712</v>
      </c>
      <c r="S28" s="7">
        <f>+S9/S7</f>
        <v>0.48037350134368828</v>
      </c>
      <c r="T28" s="7">
        <f t="shared" ref="T28:Z28" si="39">+T9/T7</f>
        <v>0.52</v>
      </c>
      <c r="U28" s="7">
        <f t="shared" si="39"/>
        <v>0.52</v>
      </c>
      <c r="V28" s="7">
        <f t="shared" si="39"/>
        <v>0.52</v>
      </c>
      <c r="W28" s="7">
        <f t="shared" si="39"/>
        <v>0.52</v>
      </c>
      <c r="X28" s="7">
        <f t="shared" si="39"/>
        <v>0.52</v>
      </c>
      <c r="Y28" s="7">
        <f t="shared" si="39"/>
        <v>0.52</v>
      </c>
      <c r="Z28" s="7">
        <f t="shared" si="39"/>
        <v>0.52</v>
      </c>
    </row>
    <row r="29" spans="2:68" x14ac:dyDescent="0.25">
      <c r="B29" s="1" t="s">
        <v>35</v>
      </c>
      <c r="C29" s="7"/>
      <c r="D29" s="7"/>
      <c r="E29" s="7"/>
      <c r="F29" s="7"/>
      <c r="G29" s="7">
        <f t="shared" ref="G29" si="40">+G11/G7</f>
        <v>0.17278284520599066</v>
      </c>
      <c r="H29" s="7">
        <f>+H11/H7</f>
        <v>0.19888426214316174</v>
      </c>
      <c r="I29" s="7"/>
      <c r="J29" s="7"/>
      <c r="K29" s="7">
        <f t="shared" ref="K29" si="41">+K11/K7</f>
        <v>0.23387160255040657</v>
      </c>
      <c r="L29" s="7">
        <f>+L11/L7</f>
        <v>0.23446117563940236</v>
      </c>
      <c r="Q29" s="7">
        <f t="shared" ref="Q29:R29" si="42">+Q11/Q7</f>
        <v>-1.3014204256185736E-2</v>
      </c>
      <c r="R29" s="7">
        <f t="shared" si="42"/>
        <v>-0.24143212097845174</v>
      </c>
      <c r="S29" s="7">
        <f>+S11/S7</f>
        <v>0.20209648759421364</v>
      </c>
      <c r="T29" s="7">
        <f t="shared" ref="T29:Z29" si="43">+T11/T7</f>
        <v>0.25837203835519479</v>
      </c>
      <c r="U29" s="7">
        <f t="shared" si="43"/>
        <v>0.27402499332539676</v>
      </c>
      <c r="V29" s="7">
        <f t="shared" si="43"/>
        <v>0.2887414467161849</v>
      </c>
      <c r="W29" s="7">
        <f t="shared" si="43"/>
        <v>0.30257742853658409</v>
      </c>
      <c r="X29" s="7">
        <f t="shared" si="43"/>
        <v>0.31558561657285678</v>
      </c>
      <c r="Y29" s="7">
        <f t="shared" si="43"/>
        <v>0.32781553694883969</v>
      </c>
      <c r="Z29" s="7">
        <f t="shared" si="43"/>
        <v>0.33931375268694325</v>
      </c>
    </row>
    <row r="31" spans="2:68" x14ac:dyDescent="0.25">
      <c r="B31" s="1" t="s">
        <v>26</v>
      </c>
      <c r="E31" s="1">
        <f>-166.059-D31-C31</f>
        <v>-166.059</v>
      </c>
      <c r="G31" s="2">
        <f>+G16</f>
        <v>41.227000000000011</v>
      </c>
      <c r="H31" s="2">
        <f>92.736-G31</f>
        <v>51.508999999999993</v>
      </c>
      <c r="I31" s="2">
        <f>176.685-G31-H31</f>
        <v>83.949000000000012</v>
      </c>
      <c r="J31" s="2"/>
      <c r="K31" s="2">
        <f>+K16</f>
        <v>77.811000000000021</v>
      </c>
      <c r="L31" s="2">
        <f>157.594-K31</f>
        <v>79.782999999999973</v>
      </c>
      <c r="Q31" s="2">
        <f t="shared" ref="Q31:R31" si="44">+Q16</f>
        <v>3.9369999999999967</v>
      </c>
      <c r="R31" s="2">
        <f t="shared" si="44"/>
        <v>-187.28199999999998</v>
      </c>
      <c r="S31" s="2">
        <f>+S16</f>
        <v>226.80099999999993</v>
      </c>
    </row>
    <row r="32" spans="2:68" x14ac:dyDescent="0.25">
      <c r="B32" s="1" t="s">
        <v>36</v>
      </c>
      <c r="G32" s="2">
        <v>0.54900000000000004</v>
      </c>
      <c r="H32" s="2">
        <f>1.247-G32</f>
        <v>0.69800000000000006</v>
      </c>
      <c r="I32" s="2">
        <f>1.676+0.445-H32-G32</f>
        <v>0.874</v>
      </c>
      <c r="J32" s="2"/>
      <c r="K32" s="2">
        <v>1.2290000000000001</v>
      </c>
      <c r="L32" s="2">
        <f>2.648-K32</f>
        <v>1.419</v>
      </c>
      <c r="R32" s="2">
        <v>1.917</v>
      </c>
      <c r="S32" s="2">
        <v>3.226</v>
      </c>
    </row>
    <row r="33" spans="2:19" x14ac:dyDescent="0.25">
      <c r="B33" s="1" t="s">
        <v>117</v>
      </c>
      <c r="G33" s="2"/>
      <c r="H33" s="2"/>
      <c r="I33" s="2"/>
      <c r="J33" s="2"/>
      <c r="K33" s="2"/>
      <c r="L33" s="2"/>
      <c r="R33" s="2">
        <v>2.379</v>
      </c>
      <c r="S33" s="2">
        <v>0</v>
      </c>
    </row>
    <row r="34" spans="2:19" x14ac:dyDescent="0.25">
      <c r="B34" s="1" t="s">
        <v>37</v>
      </c>
      <c r="G34" s="2">
        <v>0.83699999999999997</v>
      </c>
      <c r="H34" s="2">
        <f>1.088-G34</f>
        <v>0.25100000000000011</v>
      </c>
      <c r="I34" s="2">
        <f>1.88-H34-G34</f>
        <v>0.79199999999999982</v>
      </c>
      <c r="J34" s="2"/>
      <c r="K34" s="2">
        <v>2.25</v>
      </c>
      <c r="L34" s="2">
        <f>4.072-K34</f>
        <v>1.8220000000000001</v>
      </c>
      <c r="R34" s="2">
        <v>2.3519999999999999</v>
      </c>
      <c r="S34" s="2">
        <v>2.1280000000000001</v>
      </c>
    </row>
    <row r="35" spans="2:19" x14ac:dyDescent="0.25">
      <c r="B35" s="1" t="s">
        <v>38</v>
      </c>
      <c r="G35" s="2">
        <v>3.5310000000000001</v>
      </c>
      <c r="H35" s="2">
        <f>7.062-G35</f>
        <v>3.5310000000000001</v>
      </c>
      <c r="I35" s="2">
        <f>10.593-G35-H35</f>
        <v>3.5309999999999993</v>
      </c>
      <c r="J35" s="2"/>
      <c r="K35" s="2">
        <v>3.5310000000000001</v>
      </c>
      <c r="L35" s="2">
        <f>7.062-K35</f>
        <v>3.5310000000000001</v>
      </c>
      <c r="R35" s="2">
        <v>5.8849999999999998</v>
      </c>
      <c r="S35" s="2">
        <v>14.124000000000001</v>
      </c>
    </row>
    <row r="36" spans="2:19" x14ac:dyDescent="0.25">
      <c r="B36" s="1" t="s">
        <v>39</v>
      </c>
      <c r="G36" s="2">
        <v>1.6719999999999999</v>
      </c>
      <c r="H36" s="2">
        <f>-3.888-G36</f>
        <v>-5.56</v>
      </c>
      <c r="I36" s="2">
        <f>2.677-H36-G36</f>
        <v>6.5650000000000004</v>
      </c>
      <c r="J36" s="2"/>
      <c r="K36" s="2">
        <v>2.3860000000000001</v>
      </c>
      <c r="L36" s="2">
        <f>11.554-K36</f>
        <v>9.1679999999999993</v>
      </c>
      <c r="R36" s="2">
        <v>6.1310000000000002</v>
      </c>
      <c r="S36" s="2">
        <v>7.3120000000000003</v>
      </c>
    </row>
    <row r="37" spans="2:19" x14ac:dyDescent="0.25">
      <c r="B37" s="1" t="s">
        <v>40</v>
      </c>
      <c r="G37" s="2">
        <v>0</v>
      </c>
      <c r="H37" s="2">
        <f>0.191-G37</f>
        <v>0.191</v>
      </c>
      <c r="I37" s="2">
        <f>0.195-G37-H37</f>
        <v>4.0000000000000036E-3</v>
      </c>
      <c r="J37" s="2"/>
      <c r="K37" s="2">
        <v>-8.0000000000000002E-3</v>
      </c>
      <c r="L37" s="2">
        <f>0.031-K37</f>
        <v>3.9E-2</v>
      </c>
      <c r="R37" s="2">
        <v>0</v>
      </c>
      <c r="S37" s="2">
        <v>0.19800000000000001</v>
      </c>
    </row>
    <row r="38" spans="2:19" x14ac:dyDescent="0.25">
      <c r="B38" s="1" t="s">
        <v>41</v>
      </c>
      <c r="G38" s="2">
        <v>5.5069999999999997</v>
      </c>
      <c r="H38" s="2">
        <f>11.242-G38</f>
        <v>5.7350000000000012</v>
      </c>
      <c r="I38" s="2">
        <f>16.221-G38-H38</f>
        <v>4.9789999999999992</v>
      </c>
      <c r="J38" s="2"/>
      <c r="K38" s="2">
        <v>3.5630000000000002</v>
      </c>
      <c r="L38" s="2">
        <f>8.309-K38</f>
        <v>4.7459999999999987</v>
      </c>
      <c r="R38" s="2">
        <v>20.664999999999999</v>
      </c>
      <c r="S38" s="2">
        <v>21.225999999999999</v>
      </c>
    </row>
    <row r="39" spans="2:19" x14ac:dyDescent="0.25">
      <c r="B39" s="1" t="s">
        <v>42</v>
      </c>
      <c r="G39" s="2">
        <v>2.8730000000000002</v>
      </c>
      <c r="H39" s="2">
        <f>-41.044-G39</f>
        <v>-43.916999999999994</v>
      </c>
      <c r="I39" s="2">
        <f>-44.303-G39-H39</f>
        <v>-3.2590000000000003</v>
      </c>
      <c r="J39" s="2"/>
      <c r="K39" s="2">
        <v>6.45</v>
      </c>
      <c r="L39" s="2">
        <f>6.112-K39</f>
        <v>-0.33800000000000008</v>
      </c>
      <c r="R39" s="2">
        <v>20.244</v>
      </c>
      <c r="S39" s="2">
        <v>-42.055</v>
      </c>
    </row>
    <row r="40" spans="2:19" x14ac:dyDescent="0.25">
      <c r="B40" s="1" t="s">
        <v>25</v>
      </c>
      <c r="G40" s="2">
        <v>6.9000000000000006E-2</v>
      </c>
      <c r="H40" s="2">
        <f>0.206-G40</f>
        <v>0.13699999999999998</v>
      </c>
      <c r="I40" s="2">
        <f>0.258-G40-H40</f>
        <v>5.2000000000000018E-2</v>
      </c>
      <c r="J40" s="2"/>
      <c r="K40" s="2">
        <v>0.36899999999999999</v>
      </c>
      <c r="L40" s="2">
        <f>0.633-K40</f>
        <v>0.26400000000000001</v>
      </c>
      <c r="R40" s="2">
        <v>0.48299999999999998</v>
      </c>
      <c r="S40" s="2">
        <v>1.246</v>
      </c>
    </row>
    <row r="41" spans="2:19" x14ac:dyDescent="0.25">
      <c r="B41" s="1" t="s">
        <v>43</v>
      </c>
      <c r="G41" s="2">
        <v>-109.639</v>
      </c>
      <c r="H41" s="2">
        <f>-135.6-G41</f>
        <v>-25.960999999999999</v>
      </c>
      <c r="I41" s="2">
        <f>-153.271-G41-H41</f>
        <v>-17.670999999999992</v>
      </c>
      <c r="J41" s="2"/>
      <c r="K41" s="2">
        <v>-18.664000000000001</v>
      </c>
      <c r="L41" s="2">
        <f>-82.213-K41</f>
        <v>-63.548999999999992</v>
      </c>
      <c r="R41" s="2">
        <v>-26.369</v>
      </c>
      <c r="S41" s="2">
        <v>-121.55800000000001</v>
      </c>
    </row>
    <row r="42" spans="2:19" x14ac:dyDescent="0.25">
      <c r="B42" s="1" t="s">
        <v>44</v>
      </c>
      <c r="G42" s="2">
        <v>17.338000000000001</v>
      </c>
      <c r="H42" s="2">
        <f>24.632-G42</f>
        <v>7.2940000000000005</v>
      </c>
      <c r="I42" s="2">
        <f>-28.092-G42-H42</f>
        <v>-52.724000000000004</v>
      </c>
      <c r="J42" s="2"/>
      <c r="K42" s="2">
        <v>29.385999999999999</v>
      </c>
      <c r="L42" s="2">
        <f>37.052-K42</f>
        <v>7.6660000000000004</v>
      </c>
      <c r="R42" s="2">
        <v>11.802</v>
      </c>
      <c r="S42" s="2">
        <v>-63.298999999999999</v>
      </c>
    </row>
    <row r="43" spans="2:19" x14ac:dyDescent="0.25">
      <c r="B43" s="1" t="s">
        <v>45</v>
      </c>
      <c r="G43" s="2">
        <v>-4.1660000000000004</v>
      </c>
      <c r="H43" s="2">
        <f>-12.058-G43</f>
        <v>-7.8919999999999995</v>
      </c>
      <c r="I43" s="2">
        <f>-12.406-G43-H43</f>
        <v>-0.34800000000000075</v>
      </c>
      <c r="J43" s="2"/>
      <c r="K43" s="2">
        <v>-2.0760000000000001</v>
      </c>
      <c r="L43" s="2">
        <f>-3.469-K43</f>
        <v>-1.3929999999999998</v>
      </c>
      <c r="R43" s="2">
        <v>2.214</v>
      </c>
      <c r="S43" s="2">
        <v>-7.98</v>
      </c>
    </row>
    <row r="44" spans="2:19" x14ac:dyDescent="0.25">
      <c r="B44" s="1" t="s">
        <v>46</v>
      </c>
      <c r="G44" s="2">
        <v>-19.712</v>
      </c>
      <c r="H44" s="2">
        <f>-10.209-G44</f>
        <v>9.5030000000000001</v>
      </c>
      <c r="I44" s="2">
        <f>14.652-G44-H44</f>
        <v>24.860999999999997</v>
      </c>
      <c r="J44" s="2"/>
      <c r="K44" s="2">
        <v>-3.0129999999999999</v>
      </c>
      <c r="L44" s="2">
        <f>3.95-K44</f>
        <v>6.9630000000000001</v>
      </c>
      <c r="R44" s="2">
        <v>0.42799999999999999</v>
      </c>
      <c r="S44" s="2">
        <v>5.2489999999999997</v>
      </c>
    </row>
    <row r="45" spans="2:19" x14ac:dyDescent="0.25">
      <c r="B45" s="1" t="s">
        <v>47</v>
      </c>
      <c r="G45" s="2">
        <v>12.643000000000001</v>
      </c>
      <c r="H45" s="2">
        <f>-2.282-G45</f>
        <v>-14.925000000000001</v>
      </c>
      <c r="I45" s="2"/>
      <c r="J45" s="2"/>
      <c r="K45" s="2">
        <v>1.998</v>
      </c>
      <c r="L45" s="2">
        <f>17.76-K45</f>
        <v>15.762000000000002</v>
      </c>
      <c r="R45" s="2">
        <v>34.643999999999998</v>
      </c>
      <c r="S45" s="2">
        <v>-8.0250000000000004</v>
      </c>
    </row>
    <row r="46" spans="2:19" x14ac:dyDescent="0.25">
      <c r="B46" s="1" t="s">
        <v>48</v>
      </c>
      <c r="G46" s="2">
        <v>7.2510000000000003</v>
      </c>
      <c r="H46" s="2">
        <f>57.605-G46</f>
        <v>50.353999999999999</v>
      </c>
      <c r="I46" s="2">
        <f>57.662-G46-H46</f>
        <v>5.700000000000216E-2</v>
      </c>
      <c r="J46" s="2"/>
      <c r="K46" s="2">
        <v>8.25</v>
      </c>
      <c r="L46" s="2">
        <f>-44.978-K46</f>
        <v>-53.228000000000002</v>
      </c>
      <c r="R46" s="2">
        <v>-0.16400000000000001</v>
      </c>
      <c r="S46" s="2">
        <v>48.101999999999997</v>
      </c>
    </row>
    <row r="47" spans="2:19" x14ac:dyDescent="0.25">
      <c r="B47" s="1" t="s">
        <v>49</v>
      </c>
      <c r="G47" s="2">
        <v>32.247999999999998</v>
      </c>
      <c r="H47" s="2">
        <f>62.995-G47</f>
        <v>30.747</v>
      </c>
      <c r="I47" s="2">
        <f>100.58-G47-H47</f>
        <v>37.584999999999994</v>
      </c>
      <c r="J47" s="2"/>
      <c r="K47" s="2">
        <v>29.414000000000001</v>
      </c>
      <c r="L47" s="2">
        <f>56.692-K47</f>
        <v>27.277999999999999</v>
      </c>
      <c r="R47" s="2">
        <v>16.940000000000001</v>
      </c>
      <c r="S47" s="2">
        <v>63.81</v>
      </c>
    </row>
    <row r="48" spans="2:19" x14ac:dyDescent="0.25">
      <c r="B48" s="1" t="s">
        <v>50</v>
      </c>
      <c r="G48" s="2">
        <v>-2.923</v>
      </c>
      <c r="H48" s="2">
        <f>-3.986-G48</f>
        <v>-1.0630000000000002</v>
      </c>
      <c r="I48" s="2">
        <f>-3.986-G48-H48</f>
        <v>0</v>
      </c>
      <c r="J48" s="2"/>
      <c r="K48" s="2">
        <v>-0.248</v>
      </c>
      <c r="L48" s="2">
        <f>-0.248-K48</f>
        <v>0</v>
      </c>
      <c r="R48" s="2">
        <v>3.9860000000000002</v>
      </c>
      <c r="S48" s="2">
        <v>-3.7389999999999999</v>
      </c>
    </row>
    <row r="49" spans="2:19" x14ac:dyDescent="0.25">
      <c r="B49" s="1" t="s">
        <v>51</v>
      </c>
      <c r="G49" s="2">
        <v>1.508</v>
      </c>
      <c r="H49" s="2">
        <f>3.523-G49</f>
        <v>2.0150000000000001</v>
      </c>
      <c r="I49" s="2">
        <f>5.239-G49-H49</f>
        <v>1.7159999999999997</v>
      </c>
      <c r="J49" s="2"/>
      <c r="K49" s="2">
        <v>2.0939999999999999</v>
      </c>
      <c r="L49" s="2">
        <f>2.884-K49</f>
        <v>0.79</v>
      </c>
      <c r="R49" s="2">
        <v>2.61</v>
      </c>
      <c r="S49" s="2">
        <v>7.3049999999999997</v>
      </c>
    </row>
    <row r="50" spans="2:19" x14ac:dyDescent="0.25">
      <c r="B50" s="1" t="s">
        <v>52</v>
      </c>
      <c r="G50" s="2">
        <v>-1.4999999999999999E-2</v>
      </c>
      <c r="H50" s="2">
        <f>-0.038-G50</f>
        <v>-2.3E-2</v>
      </c>
      <c r="I50" s="2">
        <f>-0.064-G50-H50</f>
        <v>-2.6000000000000002E-2</v>
      </c>
      <c r="J50" s="2"/>
      <c r="K50" s="2">
        <v>-2.3E-2</v>
      </c>
      <c r="L50" s="2">
        <f>-0.034-K50</f>
        <v>-1.1000000000000003E-2</v>
      </c>
      <c r="R50" s="2">
        <v>-0.183</v>
      </c>
      <c r="S50" s="2">
        <v>-0.10199999999999999</v>
      </c>
    </row>
    <row r="51" spans="2:19" x14ac:dyDescent="0.25">
      <c r="B51" s="1" t="s">
        <v>53</v>
      </c>
      <c r="G51" s="2">
        <v>-4.625</v>
      </c>
      <c r="H51" s="2">
        <f>-8.219-G51</f>
        <v>-3.5939999999999994</v>
      </c>
      <c r="I51" s="2">
        <f>-10.593-G51-H51</f>
        <v>-2.3740000000000006</v>
      </c>
      <c r="J51" s="2"/>
      <c r="K51" s="2">
        <v>-2.3780000000000001</v>
      </c>
      <c r="L51" s="2">
        <f>-4.757-K51</f>
        <v>-2.3789999999999996</v>
      </c>
      <c r="R51" s="2">
        <v>189.46299999999999</v>
      </c>
      <c r="S51" s="2">
        <v>-12.723000000000001</v>
      </c>
    </row>
    <row r="52" spans="2:19" x14ac:dyDescent="0.25">
      <c r="B52" s="1" t="s">
        <v>54</v>
      </c>
      <c r="G52" s="2">
        <v>-4.0000000000000001E-3</v>
      </c>
      <c r="H52" s="2">
        <f>0.008-G52</f>
        <v>1.2E-2</v>
      </c>
      <c r="I52" s="2">
        <f>-10.593-G52-H52</f>
        <v>-10.601000000000001</v>
      </c>
      <c r="J52" s="2"/>
      <c r="K52" s="2">
        <v>-7.6719999999999997</v>
      </c>
      <c r="L52" s="2">
        <f>-6.362-K52</f>
        <v>1.3099999999999996</v>
      </c>
      <c r="R52" s="2">
        <v>3.6999999999999998E-2</v>
      </c>
      <c r="S52" s="2">
        <v>-2.8000000000000001E-2</v>
      </c>
    </row>
    <row r="53" spans="2:19" x14ac:dyDescent="0.25">
      <c r="B53" s="1" t="s">
        <v>55</v>
      </c>
      <c r="G53" s="2">
        <f t="shared" ref="G53" si="45">+SUM(G31:G52)</f>
        <v>-13.830999999999991</v>
      </c>
      <c r="H53" s="2">
        <f>+SUM(H31:H52)</f>
        <v>59.041999999999987</v>
      </c>
      <c r="I53" s="2">
        <f t="shared" ref="I53" si="46">+SUM(I31:I52)</f>
        <v>77.962000000000018</v>
      </c>
      <c r="J53" s="4">
        <f>+S53-I53-H53-G53</f>
        <v>18.044999999999916</v>
      </c>
      <c r="K53" s="2">
        <f t="shared" ref="K53" si="47">+SUM(K31:K52)</f>
        <v>134.64900000000003</v>
      </c>
      <c r="L53" s="2">
        <f>+SUM(L31:L52)</f>
        <v>39.642999999999994</v>
      </c>
      <c r="Q53" s="2">
        <f t="shared" ref="Q53" si="48">+SUM(Q31:Q52)</f>
        <v>3.9369999999999967</v>
      </c>
      <c r="R53" s="2">
        <f>+SUM(R31:R52)</f>
        <v>108.18199999999999</v>
      </c>
      <c r="S53" s="2">
        <f>+SUM(S31:S52)</f>
        <v>141.21799999999993</v>
      </c>
    </row>
    <row r="54" spans="2:19" x14ac:dyDescent="0.25">
      <c r="G54" s="2"/>
      <c r="H54" s="2"/>
      <c r="I54" s="2"/>
      <c r="J54" s="2"/>
      <c r="K54" s="2"/>
      <c r="L54" s="2"/>
      <c r="R54" s="2"/>
      <c r="S54" s="2"/>
    </row>
    <row r="55" spans="2:19" x14ac:dyDescent="0.25">
      <c r="B55" s="1" t="s">
        <v>56</v>
      </c>
      <c r="G55" s="2"/>
      <c r="H55" s="2">
        <f>3.233-G55</f>
        <v>3.2330000000000001</v>
      </c>
      <c r="I55" s="2">
        <f>3.233-H55-G55</f>
        <v>0</v>
      </c>
      <c r="J55" s="2"/>
      <c r="K55" s="2">
        <v>0</v>
      </c>
      <c r="L55" s="2">
        <v>0</v>
      </c>
      <c r="R55" s="2">
        <v>2.5920000000000001</v>
      </c>
      <c r="S55" s="2">
        <v>3.2330000000000001</v>
      </c>
    </row>
    <row r="56" spans="2:19" x14ac:dyDescent="0.25">
      <c r="B56" s="1" t="s">
        <v>57</v>
      </c>
      <c r="G56" s="2"/>
      <c r="H56" s="2">
        <f>-6.81-G56</f>
        <v>-6.81</v>
      </c>
      <c r="I56" s="2">
        <f>-12.687-G56-H56</f>
        <v>-5.8769999999999998</v>
      </c>
      <c r="J56" s="2"/>
      <c r="K56" s="2">
        <v>-4.5250000000000004</v>
      </c>
      <c r="L56" s="2">
        <f>-13.739-K56</f>
        <v>-9.2140000000000004</v>
      </c>
      <c r="R56" s="2">
        <v>-8.2639999999999993</v>
      </c>
      <c r="S56" s="2">
        <v>-17.433</v>
      </c>
    </row>
    <row r="57" spans="2:19" x14ac:dyDescent="0.25">
      <c r="B57" s="1" t="s">
        <v>58</v>
      </c>
      <c r="G57" s="2"/>
      <c r="H57" s="2">
        <f>+H55+H56</f>
        <v>-3.5769999999999995</v>
      </c>
      <c r="I57" s="2">
        <f t="shared" ref="I57" si="49">+I55+I56</f>
        <v>-5.8769999999999998</v>
      </c>
      <c r="J57" s="4">
        <f>+S57-I57-H57-G57</f>
        <v>-4.7460000000000004</v>
      </c>
      <c r="K57" s="2">
        <f t="shared" ref="K57" si="50">+K55+K56</f>
        <v>-4.5250000000000004</v>
      </c>
      <c r="L57" s="2">
        <f>+L55+L56</f>
        <v>-9.2140000000000004</v>
      </c>
      <c r="Q57" s="1">
        <f t="shared" ref="Q57:R57" si="51">+Q55+Q56</f>
        <v>0</v>
      </c>
      <c r="R57" s="2">
        <f t="shared" si="51"/>
        <v>-5.6719999999999988</v>
      </c>
      <c r="S57" s="2">
        <f>+S55+S56</f>
        <v>-14.2</v>
      </c>
    </row>
    <row r="58" spans="2:19" x14ac:dyDescent="0.25">
      <c r="G58" s="2"/>
      <c r="H58" s="2"/>
      <c r="I58" s="2"/>
      <c r="J58" s="2"/>
      <c r="K58" s="2"/>
      <c r="L58" s="2"/>
      <c r="R58" s="2"/>
      <c r="S58" s="2"/>
    </row>
    <row r="59" spans="2:19" x14ac:dyDescent="0.25">
      <c r="B59" s="1" t="s">
        <v>59</v>
      </c>
      <c r="G59" s="2">
        <v>1.0999999999999999E-2</v>
      </c>
      <c r="H59" s="2">
        <f>-0.022-G59</f>
        <v>-3.3000000000000002E-2</v>
      </c>
      <c r="I59" s="2">
        <f>-0.033-G59-H59</f>
        <v>-1.0999999999999996E-2</v>
      </c>
      <c r="J59" s="2"/>
      <c r="K59" s="2">
        <v>-1.4999999999999999E-2</v>
      </c>
      <c r="L59" s="2">
        <f>-0.03-K59</f>
        <v>-1.4999999999999999E-2</v>
      </c>
      <c r="R59" s="2">
        <v>-6.3E-2</v>
      </c>
      <c r="S59" s="2">
        <v>-4.3999999999999997E-2</v>
      </c>
    </row>
    <row r="60" spans="2:19" x14ac:dyDescent="0.25">
      <c r="B60" s="1" t="s">
        <v>60</v>
      </c>
      <c r="G60" s="2">
        <v>0.47799999999999998</v>
      </c>
      <c r="H60" s="2">
        <f>0.707-G60</f>
        <v>0.22899999999999998</v>
      </c>
      <c r="I60" s="2">
        <f>1.603-G60-H60</f>
        <v>0.89600000000000002</v>
      </c>
      <c r="J60" s="2"/>
      <c r="K60" s="2">
        <v>0.96699999999999997</v>
      </c>
      <c r="L60" s="2">
        <f>1.147-K60</f>
        <v>0.18000000000000005</v>
      </c>
      <c r="R60" s="2">
        <v>3.6829999999999998</v>
      </c>
      <c r="S60" s="2">
        <v>2.2850000000000001</v>
      </c>
    </row>
    <row r="61" spans="2:19" x14ac:dyDescent="0.25">
      <c r="B61" s="1" t="s">
        <v>118</v>
      </c>
      <c r="G61" s="2"/>
      <c r="H61" s="2"/>
      <c r="I61" s="2">
        <v>0</v>
      </c>
      <c r="J61" s="2"/>
      <c r="K61" s="2"/>
      <c r="L61" s="2"/>
      <c r="R61" s="2">
        <v>542.01800000000003</v>
      </c>
      <c r="S61" s="2"/>
    </row>
    <row r="62" spans="2:19" x14ac:dyDescent="0.25">
      <c r="B62" s="1" t="s">
        <v>62</v>
      </c>
      <c r="G62" s="2">
        <v>-6.7809999999999997</v>
      </c>
      <c r="H62" s="2">
        <f>-13.637-G62</f>
        <v>-6.8560000000000008</v>
      </c>
      <c r="I62" s="2">
        <f>-20.512-G62-H62</f>
        <v>-6.8750000000000009</v>
      </c>
      <c r="J62" s="2"/>
      <c r="K62" s="2">
        <v>-6.8369999999999997</v>
      </c>
      <c r="L62" s="2">
        <f>-13.675-K62</f>
        <v>-6.838000000000001</v>
      </c>
      <c r="R62" s="2">
        <v>-11.526</v>
      </c>
      <c r="S62" s="2">
        <v>-27.462</v>
      </c>
    </row>
    <row r="63" spans="2:19" x14ac:dyDescent="0.25">
      <c r="B63" s="1" t="s">
        <v>61</v>
      </c>
      <c r="G63" s="2">
        <f t="shared" ref="G63" si="52">+SUM(G59:G62)</f>
        <v>-6.2919999999999998</v>
      </c>
      <c r="H63" s="2">
        <f>+SUM(H59:H62)</f>
        <v>-6.660000000000001</v>
      </c>
      <c r="I63" s="2">
        <f t="shared" ref="I63" si="53">+SUM(I59:I62)</f>
        <v>-5.9900000000000011</v>
      </c>
      <c r="J63" s="4">
        <f>+S63-I63-H63-G63</f>
        <v>-6.2789999999999981</v>
      </c>
      <c r="K63" s="2">
        <f t="shared" ref="K63" si="54">+SUM(K59:K62)</f>
        <v>-5.8849999999999998</v>
      </c>
      <c r="L63" s="2">
        <f>+SUM(L59:L62)</f>
        <v>-6.6730000000000009</v>
      </c>
      <c r="Q63" s="1">
        <f t="shared" ref="Q63:R63" si="55">+SUM(Q59:Q62)</f>
        <v>0</v>
      </c>
      <c r="R63" s="2">
        <f t="shared" si="55"/>
        <v>534.11200000000008</v>
      </c>
      <c r="S63" s="2">
        <f>+SUM(S59:S62)</f>
        <v>-25.221</v>
      </c>
    </row>
    <row r="64" spans="2:19" x14ac:dyDescent="0.25">
      <c r="B64" s="1" t="s">
        <v>63</v>
      </c>
      <c r="G64" s="2">
        <v>-0.18099999999999999</v>
      </c>
      <c r="H64" s="2">
        <f>-0.555-G64</f>
        <v>-0.37400000000000005</v>
      </c>
      <c r="I64" s="2">
        <f>-0.555-G64-H64</f>
        <v>0</v>
      </c>
      <c r="J64" s="4">
        <f>+S64-I64-H64-G64</f>
        <v>1.8120000000000001</v>
      </c>
      <c r="K64" s="2">
        <v>-0.72199999999999998</v>
      </c>
      <c r="L64" s="2">
        <f>-0.766-K64</f>
        <v>-4.4000000000000039E-2</v>
      </c>
      <c r="R64" s="2">
        <v>0.05</v>
      </c>
      <c r="S64" s="2">
        <v>1.2569999999999999</v>
      </c>
    </row>
    <row r="65" spans="2:26" x14ac:dyDescent="0.25">
      <c r="B65" s="1" t="s">
        <v>64</v>
      </c>
      <c r="G65" s="2">
        <f t="shared" ref="G65" si="56">+G53+G57+G63+G64</f>
        <v>-20.303999999999991</v>
      </c>
      <c r="H65" s="2">
        <f>+H53+H57+H63+H64</f>
        <v>48.430999999999983</v>
      </c>
      <c r="I65" s="2">
        <f t="shared" ref="I65" si="57">+I53+I57+I63+I64</f>
        <v>66.095000000000027</v>
      </c>
      <c r="J65" s="4">
        <f>+S65-I65-H65-G65</f>
        <v>8.8319999999999119</v>
      </c>
      <c r="K65" s="2">
        <f t="shared" ref="K65" si="58">+K53+K57+K63+K64</f>
        <v>123.51700000000002</v>
      </c>
      <c r="L65" s="2">
        <f>+L53+L57+L63+L64</f>
        <v>23.711999999999993</v>
      </c>
      <c r="Q65" s="2">
        <f t="shared" ref="Q65:R65" si="59">+Q53+Q57+Q63+Q64</f>
        <v>3.9369999999999967</v>
      </c>
      <c r="R65" s="2">
        <f t="shared" si="59"/>
        <v>636.67200000000003</v>
      </c>
      <c r="S65" s="2">
        <f>+S53+S57+S63+S64</f>
        <v>103.05399999999993</v>
      </c>
    </row>
    <row r="67" spans="2:26" x14ac:dyDescent="0.25">
      <c r="B67" s="3" t="s">
        <v>65</v>
      </c>
      <c r="C67" s="3"/>
      <c r="D67" s="3"/>
      <c r="E67" s="3"/>
      <c r="F67" s="3"/>
      <c r="G67" s="4">
        <f t="shared" ref="G67" si="60">+G53+G56</f>
        <v>-13.830999999999991</v>
      </c>
      <c r="H67" s="4">
        <f>+H53+H56</f>
        <v>52.231999999999985</v>
      </c>
      <c r="I67" s="4">
        <f t="shared" ref="I67" si="61">+I53+I56</f>
        <v>72.085000000000022</v>
      </c>
      <c r="J67" s="4">
        <f>+S67-I67-H67-G67</f>
        <v>13.298999999999923</v>
      </c>
      <c r="K67" s="4">
        <f t="shared" ref="K67" si="62">+K53+K56</f>
        <v>130.12400000000002</v>
      </c>
      <c r="L67" s="4">
        <f>+L53+L56</f>
        <v>30.428999999999995</v>
      </c>
      <c r="Q67" s="2">
        <f t="shared" ref="Q67:R67" si="63">+Q53+Q56</f>
        <v>3.9369999999999967</v>
      </c>
      <c r="R67" s="2">
        <f t="shared" si="63"/>
        <v>99.917999999999992</v>
      </c>
      <c r="S67" s="2">
        <f>+S53+S56</f>
        <v>123.78499999999994</v>
      </c>
    </row>
    <row r="68" spans="2:26" x14ac:dyDescent="0.25">
      <c r="J68" s="2">
        <f t="shared" ref="J68:K68" si="64">+SUM(G67:J67)</f>
        <v>123.78499999999994</v>
      </c>
      <c r="K68" s="2">
        <f t="shared" si="64"/>
        <v>267.73999999999995</v>
      </c>
      <c r="L68" s="2">
        <f>+SUM(I67:L67)</f>
        <v>245.93699999999998</v>
      </c>
    </row>
    <row r="69" spans="2:26" x14ac:dyDescent="0.25">
      <c r="B69" s="1" t="s">
        <v>66</v>
      </c>
      <c r="L69" s="2">
        <f>+L70-L91-L95</f>
        <v>902.92100000000005</v>
      </c>
      <c r="S69" s="1">
        <v>903</v>
      </c>
      <c r="T69" s="2">
        <f>+S69+T18</f>
        <v>1203.4277399039997</v>
      </c>
      <c r="U69" s="2">
        <f t="shared" ref="U69:Z69" si="65">+T69+U18</f>
        <v>1591.5422479078875</v>
      </c>
      <c r="V69" s="2">
        <f t="shared" si="65"/>
        <v>2085.9276098141345</v>
      </c>
      <c r="W69" s="2">
        <f t="shared" si="65"/>
        <v>2708.6955687689383</v>
      </c>
      <c r="X69" s="2">
        <f t="shared" si="65"/>
        <v>3486.1220881411614</v>
      </c>
      <c r="Y69" s="2">
        <f t="shared" si="65"/>
        <v>4449.3958171855011</v>
      </c>
      <c r="Z69" s="2">
        <f t="shared" si="65"/>
        <v>5635.4978517114723</v>
      </c>
    </row>
    <row r="70" spans="2:26" x14ac:dyDescent="0.25">
      <c r="B70" s="1" t="s">
        <v>67</v>
      </c>
      <c r="C70" s="2"/>
      <c r="D70" s="2"/>
      <c r="E70" s="2"/>
      <c r="F70" s="2"/>
      <c r="G70" s="2"/>
      <c r="H70" s="2"/>
      <c r="I70" s="2"/>
      <c r="J70" s="2"/>
      <c r="K70" s="2"/>
      <c r="L70" s="2">
        <v>903.21</v>
      </c>
      <c r="M70" s="2"/>
    </row>
    <row r="71" spans="2:26" x14ac:dyDescent="0.25">
      <c r="B71" s="1" t="s">
        <v>43</v>
      </c>
      <c r="C71" s="2"/>
      <c r="D71" s="2"/>
      <c r="E71" s="2"/>
      <c r="F71" s="2"/>
      <c r="G71" s="2"/>
      <c r="H71" s="2"/>
      <c r="I71" s="2"/>
      <c r="J71" s="2"/>
      <c r="K71" s="2"/>
      <c r="L71" s="2">
        <v>262.92</v>
      </c>
      <c r="M71" s="2"/>
    </row>
    <row r="72" spans="2:26" x14ac:dyDescent="0.25">
      <c r="B72" s="1" t="s">
        <v>68</v>
      </c>
      <c r="C72" s="2"/>
      <c r="D72" s="2"/>
      <c r="E72" s="2"/>
      <c r="F72" s="2"/>
      <c r="G72" s="2"/>
      <c r="H72" s="2"/>
      <c r="I72" s="2"/>
      <c r="J72" s="2"/>
      <c r="K72" s="2"/>
      <c r="L72" s="2">
        <v>1.1659999999999999</v>
      </c>
      <c r="M72" s="2"/>
    </row>
    <row r="73" spans="2:26" x14ac:dyDescent="0.25">
      <c r="B73" s="1" t="s">
        <v>44</v>
      </c>
      <c r="C73" s="2"/>
      <c r="D73" s="2"/>
      <c r="E73" s="2"/>
      <c r="F73" s="2"/>
      <c r="G73" s="2"/>
      <c r="H73" s="2"/>
      <c r="I73" s="2"/>
      <c r="J73" s="2"/>
      <c r="K73" s="2"/>
      <c r="L73" s="2">
        <v>180.66900000000001</v>
      </c>
      <c r="M73" s="2"/>
    </row>
    <row r="74" spans="2:26" x14ac:dyDescent="0.25">
      <c r="B74" s="1" t="s">
        <v>69</v>
      </c>
      <c r="C74" s="2"/>
      <c r="D74" s="2"/>
      <c r="E74" s="2"/>
      <c r="F74" s="2"/>
      <c r="G74" s="2"/>
      <c r="H74" s="2"/>
      <c r="I74" s="2"/>
      <c r="J74" s="2"/>
      <c r="K74" s="2"/>
      <c r="L74" s="2">
        <v>14.124000000000001</v>
      </c>
      <c r="M74" s="2"/>
    </row>
    <row r="75" spans="2:26" x14ac:dyDescent="0.25">
      <c r="B75" s="1" t="s">
        <v>70</v>
      </c>
      <c r="C75" s="2"/>
      <c r="D75" s="2"/>
      <c r="E75" s="2"/>
      <c r="F75" s="2"/>
      <c r="G75" s="2"/>
      <c r="H75" s="2"/>
      <c r="I75" s="2"/>
      <c r="J75" s="2"/>
      <c r="K75" s="2"/>
      <c r="L75" s="2">
        <v>22.9</v>
      </c>
      <c r="M75" s="2"/>
    </row>
    <row r="76" spans="2:26" x14ac:dyDescent="0.25">
      <c r="B76" s="1" t="s">
        <v>71</v>
      </c>
      <c r="C76" s="2"/>
      <c r="D76" s="2"/>
      <c r="E76" s="2"/>
      <c r="F76" s="2"/>
      <c r="G76" s="2"/>
      <c r="H76" s="2"/>
      <c r="I76" s="2"/>
      <c r="J76" s="2"/>
      <c r="K76" s="2"/>
      <c r="L76" s="2">
        <v>36.281999999999996</v>
      </c>
      <c r="M76" s="2"/>
    </row>
    <row r="77" spans="2:26" x14ac:dyDescent="0.25">
      <c r="B77" s="1" t="s">
        <v>72</v>
      </c>
      <c r="C77" s="2"/>
      <c r="D77" s="2"/>
      <c r="E77" s="2"/>
      <c r="F77" s="2"/>
      <c r="G77" s="2"/>
      <c r="H77" s="2"/>
      <c r="I77" s="2"/>
      <c r="J77" s="2"/>
      <c r="K77" s="2"/>
      <c r="L77" s="2">
        <v>22.727</v>
      </c>
      <c r="M77" s="2"/>
    </row>
    <row r="78" spans="2:26" x14ac:dyDescent="0.25">
      <c r="B78" s="1" t="s">
        <v>73</v>
      </c>
      <c r="C78" s="2"/>
      <c r="D78" s="2"/>
      <c r="E78" s="2"/>
      <c r="F78" s="2"/>
      <c r="G78" s="2"/>
      <c r="H78" s="2"/>
      <c r="I78" s="2"/>
      <c r="J78" s="2"/>
      <c r="K78" s="2"/>
      <c r="L78" s="2">
        <v>1.5069999999999999</v>
      </c>
      <c r="M78" s="2"/>
    </row>
    <row r="79" spans="2:26" x14ac:dyDescent="0.25">
      <c r="B79" s="1" t="s">
        <v>74</v>
      </c>
      <c r="C79" s="2"/>
      <c r="D79" s="2"/>
      <c r="E79" s="2"/>
      <c r="F79" s="2"/>
      <c r="G79" s="2"/>
      <c r="H79" s="2"/>
      <c r="I79" s="2"/>
      <c r="J79" s="2"/>
      <c r="K79" s="2"/>
      <c r="L79" s="2">
        <v>0.23300000000000001</v>
      </c>
      <c r="M79" s="2"/>
    </row>
    <row r="80" spans="2:26" x14ac:dyDescent="0.25">
      <c r="B80" s="1" t="s">
        <v>75</v>
      </c>
      <c r="C80" s="2"/>
      <c r="D80" s="2"/>
      <c r="E80" s="2"/>
      <c r="F80" s="2"/>
      <c r="G80" s="2"/>
      <c r="H80" s="2"/>
      <c r="I80" s="2"/>
      <c r="J80" s="2"/>
      <c r="K80" s="2"/>
      <c r="L80" s="2">
        <v>241.27600000000001</v>
      </c>
      <c r="M80" s="2"/>
    </row>
    <row r="81" spans="2:13" x14ac:dyDescent="0.25">
      <c r="B81" s="1" t="s">
        <v>76</v>
      </c>
      <c r="C81" s="2"/>
      <c r="D81" s="2"/>
      <c r="E81" s="2"/>
      <c r="F81" s="2"/>
      <c r="G81" s="2"/>
      <c r="H81" s="2"/>
      <c r="I81" s="2"/>
      <c r="J81" s="2"/>
      <c r="K81" s="2"/>
      <c r="L81" s="2">
        <v>11.491</v>
      </c>
      <c r="M81" s="2"/>
    </row>
    <row r="82" spans="2:13" x14ac:dyDescent="0.25">
      <c r="B82" s="1" t="s">
        <v>77</v>
      </c>
      <c r="C82" s="2"/>
      <c r="D82" s="2"/>
      <c r="E82" s="2"/>
      <c r="F82" s="2"/>
      <c r="G82" s="2"/>
      <c r="H82" s="2"/>
      <c r="I82" s="2"/>
      <c r="J82" s="2"/>
      <c r="K82" s="2"/>
      <c r="L82" s="2">
        <v>13.73</v>
      </c>
      <c r="M82" s="2"/>
    </row>
    <row r="83" spans="2:13" x14ac:dyDescent="0.25">
      <c r="B83" s="1" t="s">
        <v>78</v>
      </c>
      <c r="C83" s="2"/>
      <c r="D83" s="2"/>
      <c r="E83" s="2"/>
      <c r="F83" s="2"/>
      <c r="G83" s="2"/>
      <c r="H83" s="2"/>
      <c r="I83" s="2"/>
      <c r="J83" s="2"/>
      <c r="K83" s="2"/>
      <c r="L83" s="2">
        <v>6.6529999999999996</v>
      </c>
      <c r="M83" s="2"/>
    </row>
    <row r="84" spans="2:13" x14ac:dyDescent="0.25">
      <c r="B84" s="1" t="s">
        <v>79</v>
      </c>
      <c r="C84" s="2"/>
      <c r="D84" s="2"/>
      <c r="E84" s="2"/>
      <c r="F84" s="2"/>
      <c r="G84" s="2"/>
      <c r="H84" s="2"/>
      <c r="I84" s="2"/>
      <c r="J84" s="2"/>
      <c r="K84" s="2"/>
      <c r="L84" s="2">
        <f>+SUM(L70:L83)</f>
        <v>1718.8880000000004</v>
      </c>
      <c r="M84" s="2"/>
    </row>
    <row r="85" spans="2:13" x14ac:dyDescent="0.25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2:13" x14ac:dyDescent="0.25">
      <c r="B86" s="1" t="s">
        <v>46</v>
      </c>
      <c r="C86" s="2"/>
      <c r="D86" s="2"/>
      <c r="E86" s="2"/>
      <c r="F86" s="2"/>
      <c r="G86" s="2"/>
      <c r="H86" s="2"/>
      <c r="I86" s="2"/>
      <c r="J86" s="2"/>
      <c r="K86" s="2"/>
      <c r="L86" s="2">
        <v>47.423000000000002</v>
      </c>
      <c r="M86" s="2"/>
    </row>
    <row r="87" spans="2:13" x14ac:dyDescent="0.25">
      <c r="B87" s="1" t="s">
        <v>47</v>
      </c>
      <c r="C87" s="2"/>
      <c r="D87" s="2"/>
      <c r="E87" s="2"/>
      <c r="F87" s="2"/>
      <c r="G87" s="2"/>
      <c r="H87" s="2"/>
      <c r="I87" s="2"/>
      <c r="J87" s="2"/>
      <c r="K87" s="2"/>
      <c r="L87" s="2">
        <v>79.632999999999996</v>
      </c>
      <c r="M87" s="2"/>
    </row>
    <row r="88" spans="2:13" x14ac:dyDescent="0.25">
      <c r="B88" s="1" t="s">
        <v>80</v>
      </c>
      <c r="C88" s="2"/>
      <c r="D88" s="2"/>
      <c r="E88" s="2"/>
      <c r="F88" s="2"/>
      <c r="G88" s="2"/>
      <c r="H88" s="2"/>
      <c r="I88" s="2"/>
      <c r="J88" s="2"/>
      <c r="K88" s="2"/>
      <c r="L88" s="2">
        <v>5.3739999999999997</v>
      </c>
      <c r="M88" s="2"/>
    </row>
    <row r="89" spans="2:13" x14ac:dyDescent="0.25">
      <c r="B89" s="1" t="s">
        <v>49</v>
      </c>
      <c r="C89" s="2"/>
      <c r="D89" s="2"/>
      <c r="E89" s="2"/>
      <c r="F89" s="2"/>
      <c r="G89" s="2"/>
      <c r="H89" s="2"/>
      <c r="I89" s="2"/>
      <c r="J89" s="2"/>
      <c r="K89" s="2"/>
      <c r="L89" s="2">
        <v>156.47900000000001</v>
      </c>
      <c r="M89" s="2"/>
    </row>
    <row r="90" spans="2:13" x14ac:dyDescent="0.25">
      <c r="B90" s="1" t="s">
        <v>81</v>
      </c>
      <c r="C90" s="2"/>
      <c r="D90" s="2"/>
      <c r="E90" s="2"/>
      <c r="F90" s="2"/>
      <c r="G90" s="2"/>
      <c r="H90" s="2"/>
      <c r="I90" s="2"/>
      <c r="J90" s="2"/>
      <c r="K90" s="2"/>
      <c r="L90" s="2">
        <v>0.72899999999999998</v>
      </c>
      <c r="M90" s="2"/>
    </row>
    <row r="91" spans="2:13" x14ac:dyDescent="0.25">
      <c r="B91" s="1" t="s">
        <v>82</v>
      </c>
      <c r="C91" s="2"/>
      <c r="D91" s="2"/>
      <c r="E91" s="2"/>
      <c r="F91" s="2"/>
      <c r="G91" s="2"/>
      <c r="H91" s="2"/>
      <c r="I91" s="2"/>
      <c r="J91" s="2"/>
      <c r="K91" s="2"/>
      <c r="L91" s="2">
        <v>6.0999999999999999E-2</v>
      </c>
      <c r="M91" s="2"/>
    </row>
    <row r="92" spans="2:13" x14ac:dyDescent="0.25">
      <c r="B92" s="1" t="s">
        <v>83</v>
      </c>
      <c r="C92" s="2"/>
      <c r="D92" s="2"/>
      <c r="E92" s="2"/>
      <c r="F92" s="2"/>
      <c r="G92" s="2"/>
      <c r="H92" s="2"/>
      <c r="I92" s="2"/>
      <c r="J92" s="2"/>
      <c r="K92" s="2"/>
      <c r="L92" s="2">
        <v>9.5129999999999999</v>
      </c>
      <c r="M92" s="2"/>
    </row>
    <row r="93" spans="2:13" x14ac:dyDescent="0.25">
      <c r="B93" s="1" t="s">
        <v>51</v>
      </c>
      <c r="C93" s="2"/>
      <c r="D93" s="2"/>
      <c r="E93" s="2"/>
      <c r="F93" s="2"/>
      <c r="G93" s="2"/>
      <c r="H93" s="2"/>
      <c r="I93" s="2"/>
      <c r="J93" s="2"/>
      <c r="K93" s="2"/>
      <c r="L93" s="2">
        <v>13.772</v>
      </c>
      <c r="M93" s="2"/>
    </row>
    <row r="94" spans="2:13" x14ac:dyDescent="0.25">
      <c r="B94" s="1" t="s">
        <v>84</v>
      </c>
      <c r="C94" s="2"/>
      <c r="D94" s="2"/>
      <c r="E94" s="2"/>
      <c r="F94" s="2"/>
      <c r="G94" s="2"/>
      <c r="H94" s="2"/>
      <c r="I94" s="2"/>
      <c r="J94" s="2"/>
      <c r="K94" s="2"/>
      <c r="L94" s="2">
        <v>0.76200000000000001</v>
      </c>
      <c r="M94" s="2"/>
    </row>
    <row r="95" spans="2:13" x14ac:dyDescent="0.25">
      <c r="B95" s="1" t="s">
        <v>85</v>
      </c>
      <c r="C95" s="2"/>
      <c r="D95" s="2"/>
      <c r="E95" s="2"/>
      <c r="F95" s="2"/>
      <c r="G95" s="2"/>
      <c r="H95" s="2"/>
      <c r="I95" s="2"/>
      <c r="J95" s="2"/>
      <c r="K95" s="2"/>
      <c r="L95" s="2">
        <v>0.22800000000000001</v>
      </c>
      <c r="M95" s="2"/>
    </row>
    <row r="96" spans="2:13" x14ac:dyDescent="0.25">
      <c r="B96" s="1" t="s">
        <v>86</v>
      </c>
      <c r="C96" s="2"/>
      <c r="D96" s="2"/>
      <c r="E96" s="2"/>
      <c r="F96" s="2"/>
      <c r="G96" s="2"/>
      <c r="H96" s="2"/>
      <c r="I96" s="2"/>
      <c r="J96" s="2"/>
      <c r="K96" s="2"/>
      <c r="L96" s="2">
        <v>2.2010000000000001</v>
      </c>
      <c r="M96" s="2"/>
    </row>
    <row r="97" spans="2:19" x14ac:dyDescent="0.25">
      <c r="B97" s="1" t="s">
        <v>87</v>
      </c>
      <c r="C97" s="2"/>
      <c r="D97" s="2"/>
      <c r="E97" s="2"/>
      <c r="F97" s="2"/>
      <c r="G97" s="2"/>
      <c r="H97" s="2"/>
      <c r="I97" s="2"/>
      <c r="J97" s="2"/>
      <c r="K97" s="2"/>
      <c r="L97" s="2">
        <v>162.471</v>
      </c>
      <c r="M97" s="2"/>
    </row>
    <row r="98" spans="2:19" x14ac:dyDescent="0.25">
      <c r="B98" s="1" t="s">
        <v>88</v>
      </c>
      <c r="C98" s="2"/>
      <c r="D98" s="2"/>
      <c r="E98" s="2"/>
      <c r="F98" s="2"/>
      <c r="G98" s="2"/>
      <c r="H98" s="2"/>
      <c r="I98" s="2"/>
      <c r="J98" s="2"/>
      <c r="K98" s="2"/>
      <c r="L98" s="2">
        <f>+SUM(L86:L97)</f>
        <v>478.64599999999996</v>
      </c>
      <c r="M98" s="2"/>
    </row>
    <row r="99" spans="2:19" x14ac:dyDescent="0.25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2:19" x14ac:dyDescent="0.25">
      <c r="B100" s="1" t="s">
        <v>113</v>
      </c>
      <c r="C100" s="2"/>
      <c r="D100" s="2"/>
      <c r="E100" s="2"/>
      <c r="F100" s="2"/>
      <c r="G100" s="2"/>
      <c r="H100" s="2"/>
      <c r="I100" s="2"/>
      <c r="J100" s="2"/>
      <c r="M100" s="2"/>
      <c r="N100" s="2"/>
    </row>
    <row r="101" spans="2:19" x14ac:dyDescent="0.25">
      <c r="B101" s="1" t="s">
        <v>114</v>
      </c>
      <c r="C101" s="2"/>
      <c r="D101" s="2"/>
      <c r="E101" s="2"/>
      <c r="F101" s="2"/>
      <c r="G101" s="2"/>
      <c r="H101" s="2"/>
      <c r="I101" s="2"/>
      <c r="J101" s="2"/>
      <c r="M101" s="2"/>
      <c r="N101" s="2"/>
      <c r="Q101" s="1">
        <v>0</v>
      </c>
      <c r="R101" s="8">
        <v>0.222</v>
      </c>
      <c r="S101" s="8">
        <v>0.59399999999999997</v>
      </c>
    </row>
    <row r="102" spans="2:19" x14ac:dyDescent="0.25">
      <c r="B102" s="1" t="s">
        <v>104</v>
      </c>
      <c r="C102" s="2"/>
      <c r="D102" s="2"/>
      <c r="E102" s="2"/>
      <c r="F102" s="2"/>
      <c r="G102" s="2"/>
      <c r="H102" s="2"/>
      <c r="I102" s="2"/>
      <c r="J102" s="2"/>
      <c r="M102" s="2"/>
      <c r="N102" s="2"/>
      <c r="Q102" s="8">
        <v>0.127</v>
      </c>
      <c r="R102" s="8">
        <v>0.16700000000000001</v>
      </c>
      <c r="S102" s="6">
        <v>0.12</v>
      </c>
    </row>
    <row r="103" spans="2:19" x14ac:dyDescent="0.25">
      <c r="B103" s="1" t="s">
        <v>115</v>
      </c>
      <c r="Q103" s="8">
        <v>0.10100000000000001</v>
      </c>
      <c r="R103" s="8">
        <v>8.7999999999999995E-2</v>
      </c>
      <c r="S103" s="8">
        <v>7.5999999999999998E-2</v>
      </c>
    </row>
    <row r="104" spans="2:19" x14ac:dyDescent="0.25">
      <c r="B104" s="1" t="s">
        <v>116</v>
      </c>
      <c r="Q104" s="8">
        <v>0.77200000000000002</v>
      </c>
      <c r="R104" s="8">
        <v>0.52300000000000002</v>
      </c>
      <c r="S104" s="8">
        <v>0.21</v>
      </c>
    </row>
  </sheetData>
  <hyperlinks>
    <hyperlink ref="A1" location="main!A1" display="main" xr:uid="{F37DBD58-1035-417B-BCD0-BFF383D08108}"/>
  </hyperlink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alexandreduartemorais@gmail.com</dc:creator>
  <cp:lastModifiedBy>Alexandre Duarte Morais</cp:lastModifiedBy>
  <dcterms:created xsi:type="dcterms:W3CDTF">2024-08-23T16:47:14Z</dcterms:created>
  <dcterms:modified xsi:type="dcterms:W3CDTF">2024-10-28T16:54:59Z</dcterms:modified>
</cp:coreProperties>
</file>