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635" documentId="8_{AB563599-01AC-43CA-B140-156875A51CC6}" xr6:coauthVersionLast="47" xr6:coauthVersionMax="47" xr10:uidLastSave="{DC027507-D72F-42F9-B42F-86FE6C888A9C}"/>
  <bookViews>
    <workbookView xWindow="11424" yWindow="0" windowWidth="11712" windowHeight="12336" activeTab="1" xr2:uid="{5DBAAF89-D58E-41F3-A4A2-727BA123C80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2" l="1"/>
  <c r="Z3" i="2" s="1"/>
  <c r="AA3" i="2" s="1"/>
  <c r="X3" i="2"/>
  <c r="V3" i="2"/>
  <c r="W3" i="2" s="1"/>
  <c r="U3" i="2"/>
  <c r="L11" i="1"/>
  <c r="K89" i="2"/>
  <c r="J89" i="2"/>
  <c r="I89" i="2"/>
  <c r="H89" i="2"/>
  <c r="G89" i="2"/>
  <c r="F89" i="2"/>
  <c r="E89" i="2"/>
  <c r="D89" i="2"/>
  <c r="C89" i="2"/>
  <c r="L89" i="2"/>
  <c r="L35" i="2"/>
  <c r="L34" i="2"/>
  <c r="L33" i="2"/>
  <c r="L36" i="2" s="1"/>
  <c r="G31" i="2"/>
  <c r="F31" i="2"/>
  <c r="G30" i="2"/>
  <c r="F30" i="2"/>
  <c r="G29" i="2"/>
  <c r="F29" i="2"/>
  <c r="L31" i="2"/>
  <c r="L30" i="2"/>
  <c r="L29" i="2"/>
  <c r="I27" i="2"/>
  <c r="H27" i="2"/>
  <c r="G27" i="2"/>
  <c r="F27" i="2"/>
  <c r="I26" i="2"/>
  <c r="H26" i="2"/>
  <c r="G26" i="2"/>
  <c r="F26" i="2"/>
  <c r="I25" i="2"/>
  <c r="H25" i="2"/>
  <c r="G25" i="2"/>
  <c r="F25" i="2"/>
  <c r="M27" i="2"/>
  <c r="L27" i="2"/>
  <c r="M26" i="2"/>
  <c r="L26" i="2"/>
  <c r="M25" i="2"/>
  <c r="L25" i="2"/>
  <c r="L8" i="2"/>
  <c r="L10" i="2" s="1"/>
  <c r="K8" i="2"/>
  <c r="L85" i="2"/>
  <c r="L63" i="2"/>
  <c r="L61" i="2"/>
  <c r="V13" i="2"/>
  <c r="L3" i="1" a="1"/>
  <c r="L3" i="1" s="1"/>
  <c r="U13" i="2"/>
  <c r="V87" i="2"/>
  <c r="W87" i="2" s="1"/>
  <c r="X87" i="2" s="1"/>
  <c r="Y87" i="2" s="1"/>
  <c r="Z87" i="2" s="1"/>
  <c r="AA87" i="2" s="1"/>
  <c r="U87" i="2"/>
  <c r="U18" i="2"/>
  <c r="W6" i="2"/>
  <c r="X6" i="2" s="1"/>
  <c r="Y6" i="2" s="1"/>
  <c r="Z6" i="2" s="1"/>
  <c r="AA6" i="2" s="1"/>
  <c r="V6" i="2"/>
  <c r="U6" i="2"/>
  <c r="U26" i="2" s="1"/>
  <c r="K38" i="2"/>
  <c r="S89" i="2"/>
  <c r="R89" i="2"/>
  <c r="Q89" i="2"/>
  <c r="P89" i="2"/>
  <c r="T89" i="2"/>
  <c r="S87" i="2"/>
  <c r="S88" i="2" s="1"/>
  <c r="R87" i="2"/>
  <c r="R88" i="2" s="1"/>
  <c r="Q87" i="2"/>
  <c r="P87" i="2"/>
  <c r="P88" i="2" s="1"/>
  <c r="O87" i="2"/>
  <c r="T87" i="2"/>
  <c r="T88" i="2" s="1"/>
  <c r="Q15" i="2"/>
  <c r="P15" i="2"/>
  <c r="O15" i="2"/>
  <c r="Q8" i="2"/>
  <c r="Q10" i="2" s="1"/>
  <c r="P8" i="2"/>
  <c r="P10" i="2" s="1"/>
  <c r="O8" i="2"/>
  <c r="O10" i="2" s="1"/>
  <c r="O16" i="2" s="1"/>
  <c r="O19" i="2" s="1"/>
  <c r="O21" i="2" s="1"/>
  <c r="O23" i="2" s="1"/>
  <c r="P2" i="2"/>
  <c r="Q2" i="2" s="1"/>
  <c r="S81" i="2"/>
  <c r="R81" i="2"/>
  <c r="T81" i="2"/>
  <c r="R72" i="2"/>
  <c r="S72" i="2"/>
  <c r="T72" i="2"/>
  <c r="T60" i="2"/>
  <c r="R60" i="2"/>
  <c r="S60" i="2"/>
  <c r="S26" i="2"/>
  <c r="S25" i="2"/>
  <c r="T25" i="2"/>
  <c r="S2" i="2"/>
  <c r="T2" i="2" s="1"/>
  <c r="U2" i="2" s="1"/>
  <c r="V2" i="2" s="1"/>
  <c r="W2" i="2" s="1"/>
  <c r="X2" i="2" s="1"/>
  <c r="Y2" i="2" s="1"/>
  <c r="Z2" i="2" s="1"/>
  <c r="AA2" i="2" s="1"/>
  <c r="T15" i="2"/>
  <c r="S15" i="2"/>
  <c r="R15" i="2"/>
  <c r="T8" i="2"/>
  <c r="T10" i="2" s="1"/>
  <c r="T29" i="2" s="1"/>
  <c r="S8" i="2"/>
  <c r="S10" i="2" s="1"/>
  <c r="S29" i="2" s="1"/>
  <c r="R8" i="2"/>
  <c r="R10" i="2" s="1"/>
  <c r="R29" i="2" s="1"/>
  <c r="F60" i="2"/>
  <c r="F61" i="2" s="1"/>
  <c r="J60" i="2"/>
  <c r="K60" i="2" s="1"/>
  <c r="J26" i="2"/>
  <c r="J25" i="2"/>
  <c r="K85" i="2"/>
  <c r="K26" i="2"/>
  <c r="K25" i="2"/>
  <c r="J8" i="2"/>
  <c r="J35" i="2" s="1"/>
  <c r="I8" i="2"/>
  <c r="I10" i="2" s="1"/>
  <c r="H8" i="2"/>
  <c r="H10" i="2" s="1"/>
  <c r="G8" i="2"/>
  <c r="G10" i="2" s="1"/>
  <c r="F8" i="2"/>
  <c r="F10" i="2" s="1"/>
  <c r="E8" i="2"/>
  <c r="E10" i="2" s="1"/>
  <c r="D8" i="2"/>
  <c r="D10" i="2" s="1"/>
  <c r="C8" i="2"/>
  <c r="C10" i="2" s="1"/>
  <c r="B8" i="2"/>
  <c r="B10" i="2" s="1"/>
  <c r="G82" i="2"/>
  <c r="G80" i="2"/>
  <c r="G78" i="2"/>
  <c r="G76" i="2"/>
  <c r="G75" i="2"/>
  <c r="G74" i="2"/>
  <c r="J81" i="2"/>
  <c r="I81" i="2"/>
  <c r="H81" i="2"/>
  <c r="F81" i="2"/>
  <c r="E81" i="2"/>
  <c r="D81" i="2"/>
  <c r="C81" i="2"/>
  <c r="B81" i="2"/>
  <c r="K75" i="2"/>
  <c r="K74" i="2"/>
  <c r="G71" i="2"/>
  <c r="G68" i="2"/>
  <c r="G67" i="2"/>
  <c r="G66" i="2"/>
  <c r="G65" i="2"/>
  <c r="G63" i="2"/>
  <c r="I61" i="2"/>
  <c r="H61" i="2"/>
  <c r="E61" i="2"/>
  <c r="D61" i="2"/>
  <c r="C61" i="2"/>
  <c r="B61" i="2"/>
  <c r="J72" i="2"/>
  <c r="I72" i="2"/>
  <c r="H72" i="2"/>
  <c r="F72" i="2"/>
  <c r="E72" i="2"/>
  <c r="D72" i="2"/>
  <c r="C72" i="2"/>
  <c r="B72" i="2"/>
  <c r="K69" i="2"/>
  <c r="K67" i="2"/>
  <c r="K63" i="2"/>
  <c r="K66" i="2"/>
  <c r="G55" i="2"/>
  <c r="G51" i="2"/>
  <c r="G46" i="2"/>
  <c r="G45" i="2"/>
  <c r="G44" i="2"/>
  <c r="G43" i="2"/>
  <c r="G42" i="2"/>
  <c r="G41" i="2"/>
  <c r="G40" i="2"/>
  <c r="K59" i="2"/>
  <c r="K58" i="2"/>
  <c r="K47" i="2"/>
  <c r="K46" i="2"/>
  <c r="K45" i="2"/>
  <c r="K44" i="2"/>
  <c r="K43" i="2"/>
  <c r="K42" i="2"/>
  <c r="K41" i="2"/>
  <c r="K40" i="2"/>
  <c r="M15" i="2"/>
  <c r="L15" i="2"/>
  <c r="J15" i="2"/>
  <c r="I15" i="2"/>
  <c r="H15" i="2"/>
  <c r="G15" i="2"/>
  <c r="F15" i="2"/>
  <c r="E15" i="2"/>
  <c r="D15" i="2"/>
  <c r="C15" i="2"/>
  <c r="B15" i="2"/>
  <c r="K15" i="2"/>
  <c r="M10" i="2"/>
  <c r="L7" i="1"/>
  <c r="L6" i="1"/>
  <c r="L5" i="1" l="1"/>
  <c r="L8" i="1" s="1"/>
  <c r="W26" i="2"/>
  <c r="V26" i="2"/>
  <c r="Q88" i="2"/>
  <c r="Q16" i="2"/>
  <c r="Q19" i="2" s="1"/>
  <c r="Q21" i="2" s="1"/>
  <c r="Q23" i="2" s="1"/>
  <c r="U89" i="2"/>
  <c r="P16" i="2"/>
  <c r="P19" i="2" s="1"/>
  <c r="P21" i="2" s="1"/>
  <c r="P23" i="2" s="1"/>
  <c r="X89" i="2"/>
  <c r="V89" i="2"/>
  <c r="W89" i="2"/>
  <c r="W13" i="2"/>
  <c r="J61" i="2"/>
  <c r="J83" i="2" s="1"/>
  <c r="T33" i="2"/>
  <c r="K27" i="2"/>
  <c r="T35" i="2"/>
  <c r="K35" i="2"/>
  <c r="K10" i="2"/>
  <c r="K29" i="2" s="1"/>
  <c r="R33" i="2"/>
  <c r="S33" i="2"/>
  <c r="G33" i="2"/>
  <c r="R34" i="2"/>
  <c r="G34" i="2"/>
  <c r="S34" i="2"/>
  <c r="G35" i="2"/>
  <c r="T27" i="2"/>
  <c r="T34" i="2"/>
  <c r="K33" i="2"/>
  <c r="J27" i="2"/>
  <c r="S27" i="2"/>
  <c r="R35" i="2"/>
  <c r="J10" i="2"/>
  <c r="J29" i="2" s="1"/>
  <c r="K34" i="2"/>
  <c r="S35" i="2"/>
  <c r="T16" i="2"/>
  <c r="S16" i="2"/>
  <c r="R16" i="2"/>
  <c r="G60" i="2"/>
  <c r="G61" i="2" s="1"/>
  <c r="F34" i="2"/>
  <c r="F35" i="2"/>
  <c r="F33" i="2"/>
  <c r="J34" i="2"/>
  <c r="J33" i="2"/>
  <c r="E16" i="2"/>
  <c r="E19" i="2" s="1"/>
  <c r="E21" i="2" s="1"/>
  <c r="E23" i="2" s="1"/>
  <c r="F83" i="2"/>
  <c r="K81" i="2"/>
  <c r="C83" i="2"/>
  <c r="F16" i="2"/>
  <c r="E83" i="2"/>
  <c r="C16" i="2"/>
  <c r="C19" i="2" s="1"/>
  <c r="C21" i="2" s="1"/>
  <c r="C23" i="2" s="1"/>
  <c r="L16" i="2"/>
  <c r="L19" i="2" s="1"/>
  <c r="L21" i="2" s="1"/>
  <c r="L23" i="2" s="1"/>
  <c r="H16" i="2"/>
  <c r="H19" i="2" s="1"/>
  <c r="H21" i="2" s="1"/>
  <c r="H23" i="2" s="1"/>
  <c r="D83" i="2"/>
  <c r="B16" i="2"/>
  <c r="B19" i="2" s="1"/>
  <c r="B21" i="2" s="1"/>
  <c r="B23" i="2" s="1"/>
  <c r="K72" i="2"/>
  <c r="H83" i="2"/>
  <c r="I16" i="2"/>
  <c r="I19" i="2" s="1"/>
  <c r="I21" i="2" s="1"/>
  <c r="I23" i="2" s="1"/>
  <c r="G16" i="2"/>
  <c r="G19" i="2" s="1"/>
  <c r="G21" i="2" s="1"/>
  <c r="D16" i="2"/>
  <c r="D19" i="2" s="1"/>
  <c r="D21" i="2" s="1"/>
  <c r="D23" i="2" s="1"/>
  <c r="M16" i="2"/>
  <c r="M19" i="2" s="1"/>
  <c r="M21" i="2" s="1"/>
  <c r="M23" i="2" s="1"/>
  <c r="I83" i="2"/>
  <c r="K61" i="2"/>
  <c r="B83" i="2"/>
  <c r="G81" i="2"/>
  <c r="G72" i="2"/>
  <c r="X26" i="2" l="1"/>
  <c r="U88" i="2"/>
  <c r="U5" i="2"/>
  <c r="Y89" i="2"/>
  <c r="X13" i="2"/>
  <c r="J36" i="2"/>
  <c r="T36" i="2"/>
  <c r="K16" i="2"/>
  <c r="K19" i="2" s="1"/>
  <c r="K21" i="2" s="1"/>
  <c r="K23" i="2" s="1"/>
  <c r="R36" i="2"/>
  <c r="S36" i="2"/>
  <c r="R19" i="2"/>
  <c r="R21" i="2" s="1"/>
  <c r="R30" i="2"/>
  <c r="J16" i="2"/>
  <c r="J19" i="2" s="1"/>
  <c r="J21" i="2" s="1"/>
  <c r="S19" i="2"/>
  <c r="S21" i="2" s="1"/>
  <c r="S30" i="2"/>
  <c r="G36" i="2"/>
  <c r="T19" i="2"/>
  <c r="T21" i="2" s="1"/>
  <c r="T30" i="2"/>
  <c r="K36" i="2"/>
  <c r="F19" i="2"/>
  <c r="F21" i="2" s="1"/>
  <c r="F36" i="2"/>
  <c r="G83" i="2"/>
  <c r="K83" i="2"/>
  <c r="G23" i="2"/>
  <c r="Y26" i="2" l="1"/>
  <c r="U8" i="2"/>
  <c r="U11" i="2" s="1"/>
  <c r="U25" i="2"/>
  <c r="V88" i="2"/>
  <c r="V5" i="2"/>
  <c r="Z89" i="2"/>
  <c r="Y13" i="2"/>
  <c r="J30" i="2"/>
  <c r="K30" i="2"/>
  <c r="K31" i="2"/>
  <c r="T23" i="2"/>
  <c r="T31" i="2"/>
  <c r="T40" i="2"/>
  <c r="T61" i="2" s="1"/>
  <c r="S23" i="2"/>
  <c r="S31" i="2"/>
  <c r="S40" i="2"/>
  <c r="S61" i="2" s="1"/>
  <c r="R23" i="2"/>
  <c r="R31" i="2"/>
  <c r="R40" i="2"/>
  <c r="R61" i="2" s="1"/>
  <c r="F23" i="2"/>
  <c r="J23" i="2"/>
  <c r="J31" i="2"/>
  <c r="AA26" i="2" l="1"/>
  <c r="Z26" i="2"/>
  <c r="V25" i="2"/>
  <c r="V8" i="2"/>
  <c r="W88" i="2"/>
  <c r="W5" i="2"/>
  <c r="U27" i="2"/>
  <c r="U35" i="2"/>
  <c r="U12" i="2"/>
  <c r="U34" i="2" s="1"/>
  <c r="U9" i="2"/>
  <c r="U10" i="2" s="1"/>
  <c r="AA89" i="2"/>
  <c r="Z13" i="2"/>
  <c r="S83" i="2"/>
  <c r="T83" i="2"/>
  <c r="R83" i="2"/>
  <c r="V12" i="2" l="1"/>
  <c r="V34" i="2" s="1"/>
  <c r="V11" i="2"/>
  <c r="V27" i="2"/>
  <c r="V35" i="2"/>
  <c r="V9" i="2"/>
  <c r="V10" i="2" s="1"/>
  <c r="V29" i="2" s="1"/>
  <c r="U33" i="2"/>
  <c r="U36" i="2" s="1"/>
  <c r="U15" i="2"/>
  <c r="U16" i="2" s="1"/>
  <c r="U29" i="2"/>
  <c r="W25" i="2"/>
  <c r="W8" i="2"/>
  <c r="X88" i="2"/>
  <c r="X5" i="2"/>
  <c r="AA13" i="2"/>
  <c r="W12" i="2" l="1"/>
  <c r="W34" i="2" s="1"/>
  <c r="W11" i="2"/>
  <c r="U30" i="2"/>
  <c r="U19" i="2"/>
  <c r="X8" i="2"/>
  <c r="X25" i="2"/>
  <c r="Y88" i="2"/>
  <c r="Y5" i="2"/>
  <c r="W35" i="2"/>
  <c r="W27" i="2"/>
  <c r="W9" i="2"/>
  <c r="W10" i="2" s="1"/>
  <c r="W29" i="2" s="1"/>
  <c r="V15" i="2"/>
  <c r="V16" i="2" s="1"/>
  <c r="V33" i="2"/>
  <c r="V36" i="2" s="1"/>
  <c r="X12" i="2" l="1"/>
  <c r="X34" i="2" s="1"/>
  <c r="X11" i="2"/>
  <c r="U20" i="2"/>
  <c r="U21" i="2" s="1"/>
  <c r="V30" i="2"/>
  <c r="Y25" i="2"/>
  <c r="Y8" i="2"/>
  <c r="Z88" i="2"/>
  <c r="Z5" i="2"/>
  <c r="X9" i="2"/>
  <c r="X10" i="2" s="1"/>
  <c r="X29" i="2" s="1"/>
  <c r="X35" i="2"/>
  <c r="X27" i="2"/>
  <c r="W15" i="2"/>
  <c r="W16" i="2" s="1"/>
  <c r="W33" i="2"/>
  <c r="W36" i="2" s="1"/>
  <c r="Y12" i="2" l="1"/>
  <c r="Y34" i="2" s="1"/>
  <c r="Y11" i="2"/>
  <c r="U38" i="2"/>
  <c r="V18" i="2" s="1"/>
  <c r="V19" i="2" s="1"/>
  <c r="V20" i="2" s="1"/>
  <c r="V21" i="2" s="1"/>
  <c r="U31" i="2"/>
  <c r="U23" i="2"/>
  <c r="W30" i="2"/>
  <c r="Y9" i="2"/>
  <c r="Y10" i="2" s="1"/>
  <c r="Y29" i="2" s="1"/>
  <c r="Y27" i="2"/>
  <c r="Y35" i="2"/>
  <c r="AA88" i="2"/>
  <c r="AA5" i="2"/>
  <c r="X33" i="2"/>
  <c r="X36" i="2" s="1"/>
  <c r="X15" i="2"/>
  <c r="X16" i="2" s="1"/>
  <c r="Z8" i="2"/>
  <c r="Z25" i="2"/>
  <c r="Z12" i="2" l="1"/>
  <c r="Z34" i="2" s="1"/>
  <c r="Z11" i="2"/>
  <c r="V38" i="2"/>
  <c r="V23" i="2"/>
  <c r="V31" i="2"/>
  <c r="Z27" i="2"/>
  <c r="Z9" i="2"/>
  <c r="Z10" i="2" s="1"/>
  <c r="Z29" i="2" s="1"/>
  <c r="Z35" i="2"/>
  <c r="X30" i="2"/>
  <c r="Y33" i="2"/>
  <c r="Y36" i="2" s="1"/>
  <c r="Y15" i="2"/>
  <c r="Y16" i="2" s="1"/>
  <c r="AA8" i="2"/>
  <c r="AA25" i="2"/>
  <c r="AA12" i="2" l="1"/>
  <c r="AA34" i="2" s="1"/>
  <c r="AA11" i="2"/>
  <c r="W18" i="2"/>
  <c r="W19" i="2" s="1"/>
  <c r="W20" i="2" s="1"/>
  <c r="W21" i="2" s="1"/>
  <c r="Z33" i="2"/>
  <c r="Z36" i="2" s="1"/>
  <c r="Z15" i="2"/>
  <c r="Z16" i="2" s="1"/>
  <c r="AA9" i="2"/>
  <c r="AA10" i="2" s="1"/>
  <c r="AA29" i="2" s="1"/>
  <c r="AA27" i="2"/>
  <c r="AA35" i="2"/>
  <c r="Y30" i="2"/>
  <c r="W23" i="2" l="1"/>
  <c r="W38" i="2"/>
  <c r="X18" i="2" s="1"/>
  <c r="W31" i="2"/>
  <c r="Z30" i="2"/>
  <c r="AA33" i="2"/>
  <c r="AA36" i="2" s="1"/>
  <c r="AA15" i="2"/>
  <c r="AA16" i="2" s="1"/>
  <c r="X19" i="2" l="1"/>
  <c r="X20" i="2" s="1"/>
  <c r="X21" i="2" s="1"/>
  <c r="AA30" i="2"/>
  <c r="X31" i="2" l="1"/>
  <c r="X23" i="2"/>
  <c r="X38" i="2"/>
  <c r="Y18" i="2" s="1"/>
  <c r="Y19" i="2" l="1"/>
  <c r="Y20" i="2" s="1"/>
  <c r="Y21" i="2" s="1"/>
  <c r="Y23" i="2" l="1"/>
  <c r="Y31" i="2"/>
  <c r="Y38" i="2"/>
  <c r="Z18" i="2" l="1"/>
  <c r="Z19" i="2" s="1"/>
  <c r="Z20" i="2" s="1"/>
  <c r="Z21" i="2" s="1"/>
  <c r="Z23" i="2" l="1"/>
  <c r="Z31" i="2"/>
  <c r="Z38" i="2"/>
  <c r="AA18" i="2" l="1"/>
  <c r="AA19" i="2" s="1"/>
  <c r="AA20" i="2" s="1"/>
  <c r="AA21" i="2" s="1"/>
  <c r="AB21" i="2" s="1"/>
  <c r="AC21" i="2" s="1"/>
  <c r="AD21" i="2" s="1"/>
  <c r="AE21" i="2" s="1"/>
  <c r="AF21" i="2" s="1"/>
  <c r="AG21" i="2" s="1"/>
  <c r="AH21" i="2" s="1"/>
  <c r="AI21" i="2" s="1"/>
  <c r="AJ21" i="2" s="1"/>
  <c r="AK21" i="2" s="1"/>
  <c r="AL21" i="2" s="1"/>
  <c r="AM21" i="2" s="1"/>
  <c r="AN21" i="2" s="1"/>
  <c r="AO21" i="2" s="1"/>
  <c r="AP21" i="2" s="1"/>
  <c r="AQ21" i="2" s="1"/>
  <c r="AR21" i="2" s="1"/>
  <c r="AS21" i="2" s="1"/>
  <c r="AT21" i="2" s="1"/>
  <c r="AU21" i="2" s="1"/>
  <c r="AV21" i="2" s="1"/>
  <c r="AW21" i="2" s="1"/>
  <c r="AX21" i="2" s="1"/>
  <c r="AY21" i="2" s="1"/>
  <c r="AZ21" i="2" s="1"/>
  <c r="BA21" i="2" s="1"/>
  <c r="BB21" i="2" s="1"/>
  <c r="BC21" i="2" s="1"/>
  <c r="BD21" i="2" s="1"/>
  <c r="BE21" i="2" s="1"/>
  <c r="BF21" i="2" s="1"/>
  <c r="BG21" i="2" s="1"/>
  <c r="BH21" i="2" s="1"/>
  <c r="BI21" i="2" s="1"/>
  <c r="BJ21" i="2" s="1"/>
  <c r="BK21" i="2" s="1"/>
  <c r="BL21" i="2" s="1"/>
  <c r="BM21" i="2" s="1"/>
  <c r="BN21" i="2" s="1"/>
  <c r="BO21" i="2" s="1"/>
  <c r="BP21" i="2" s="1"/>
  <c r="BQ21" i="2" s="1"/>
  <c r="BR21" i="2" s="1"/>
  <c r="BS21" i="2" s="1"/>
  <c r="BT21" i="2" s="1"/>
  <c r="BU21" i="2" s="1"/>
  <c r="BV21" i="2" s="1"/>
  <c r="BW21" i="2" s="1"/>
  <c r="BX21" i="2" s="1"/>
  <c r="BY21" i="2" s="1"/>
  <c r="AD6" i="2" s="1"/>
  <c r="AD7" i="2" s="1"/>
  <c r="AD8" i="2" s="1"/>
  <c r="AA23" i="2" l="1"/>
  <c r="AA31" i="2"/>
  <c r="AA3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M5" authorId="0" shapeId="0" xr:uid="{E38A17B1-F44B-44F9-9284-A6E84597338C}">
      <text>
        <r>
          <rPr>
            <b/>
            <sz val="9"/>
            <color indexed="81"/>
            <rFont val="Tahoma"/>
            <family val="2"/>
          </rPr>
          <t>alexa:</t>
        </r>
        <r>
          <rPr>
            <sz val="9"/>
            <color indexed="81"/>
            <rFont val="Tahoma"/>
            <family val="2"/>
          </rPr>
          <t xml:space="preserve">
126-128</t>
        </r>
      </text>
    </comment>
    <comment ref="M8" authorId="0" shapeId="0" xr:uid="{F8D5AAD2-7A17-4E17-9261-81174A350861}">
      <text>
        <r>
          <rPr>
            <b/>
            <sz val="9"/>
            <color indexed="81"/>
            <rFont val="Tahoma"/>
            <family val="2"/>
          </rPr>
          <t>alexa:</t>
        </r>
        <r>
          <rPr>
            <sz val="9"/>
            <color indexed="81"/>
            <rFont val="Tahoma"/>
            <family val="2"/>
          </rPr>
          <t xml:space="preserve">
141-143</t>
        </r>
      </text>
    </comment>
    <comment ref="K14" authorId="0" shapeId="0" xr:uid="{A642485F-36AA-4E44-942D-765BDD79D4BF}">
      <text>
        <r>
          <rPr>
            <b/>
            <sz val="9"/>
            <color indexed="81"/>
            <rFont val="Tahoma"/>
            <family val="2"/>
          </rPr>
          <t>alexa:</t>
        </r>
        <r>
          <rPr>
            <sz val="9"/>
            <color indexed="81"/>
            <rFont val="Tahoma"/>
            <family val="2"/>
          </rPr>
          <t xml:space="preserve">
481,531 in impairments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<sst xmlns="http://schemas.openxmlformats.org/spreadsheetml/2006/main" count="117" uniqueCount="114">
  <si>
    <t>ticket</t>
  </si>
  <si>
    <t xml:space="preserve">price </t>
  </si>
  <si>
    <t>shares</t>
  </si>
  <si>
    <t>mc</t>
  </si>
  <si>
    <t>cash</t>
  </si>
  <si>
    <t>debt</t>
  </si>
  <si>
    <t>ev</t>
  </si>
  <si>
    <t>Q1 2022</t>
  </si>
  <si>
    <t>Q2 2022</t>
  </si>
  <si>
    <t>Q3 2022</t>
  </si>
  <si>
    <t>Q4 2022</t>
  </si>
  <si>
    <t>Q1 2023</t>
  </si>
  <si>
    <t>Q2 2023</t>
  </si>
  <si>
    <t>Q3 2023</t>
  </si>
  <si>
    <t>Q4 2023</t>
  </si>
  <si>
    <t>Q1 2024</t>
  </si>
  <si>
    <t>Q3 2024</t>
  </si>
  <si>
    <t>Q2 2024</t>
  </si>
  <si>
    <t>Q4 2024</t>
  </si>
  <si>
    <t>Revenue</t>
  </si>
  <si>
    <t>COGS</t>
  </si>
  <si>
    <t>Gross Profit</t>
  </si>
  <si>
    <t>R&amp;D</t>
  </si>
  <si>
    <t>S&amp;M</t>
  </si>
  <si>
    <t>G&amp;A</t>
  </si>
  <si>
    <t>Impairments</t>
  </si>
  <si>
    <t>Total Opex</t>
  </si>
  <si>
    <t>Operating Income</t>
  </si>
  <si>
    <t>Net Interest</t>
  </si>
  <si>
    <t>Other Income</t>
  </si>
  <si>
    <t>Pretax Income</t>
  </si>
  <si>
    <t>Taxes</t>
  </si>
  <si>
    <t>Net Income</t>
  </si>
  <si>
    <t>Shares</t>
  </si>
  <si>
    <t>EPS</t>
  </si>
  <si>
    <t>Revenue y/y</t>
  </si>
  <si>
    <t>Gross Margin</t>
  </si>
  <si>
    <t>Operating Margin</t>
  </si>
  <si>
    <t>Net Margin</t>
  </si>
  <si>
    <t>SBC</t>
  </si>
  <si>
    <t>D&amp;A</t>
  </si>
  <si>
    <t>Deferred income taxes</t>
  </si>
  <si>
    <t>Operating lease expense</t>
  </si>
  <si>
    <t>Amortization of debt issuance costs</t>
  </si>
  <si>
    <t>Loss from write-off of PPE</t>
  </si>
  <si>
    <t>Impairment expense</t>
  </si>
  <si>
    <t>Gain on early extinguishment of debt</t>
  </si>
  <si>
    <t>Loss contingency</t>
  </si>
  <si>
    <t>Impairment on lease related assets</t>
  </si>
  <si>
    <t>Other non-cash items</t>
  </si>
  <si>
    <t>CIWC</t>
  </si>
  <si>
    <t>CFFO</t>
  </si>
  <si>
    <t>Purchases of PPE</t>
  </si>
  <si>
    <t>Proceeds from disposition of textbooks</t>
  </si>
  <si>
    <t>Purchases of investments</t>
  </si>
  <si>
    <t>Maturities of investments</t>
  </si>
  <si>
    <t>Proceeds from sale of investments</t>
  </si>
  <si>
    <t>Proceeds from sale of strategic investments</t>
  </si>
  <si>
    <t>Purchase of strategic investments</t>
  </si>
  <si>
    <t>CFFI</t>
  </si>
  <si>
    <t>Proceeds from stock issued under stock plans</t>
  </si>
  <si>
    <t>Repurchase of common stock</t>
  </si>
  <si>
    <t>Repayment of convertible senior notes</t>
  </si>
  <si>
    <t>Payment of taxes related to equity awards</t>
  </si>
  <si>
    <t>Proceeds from exercise of convertible senior notes</t>
  </si>
  <si>
    <t>CFFF</t>
  </si>
  <si>
    <t>FX</t>
  </si>
  <si>
    <t>Net Change in cash</t>
  </si>
  <si>
    <t>Founded</t>
  </si>
  <si>
    <t>HQ</t>
  </si>
  <si>
    <t>Santa Clara, CA</t>
  </si>
  <si>
    <t>Subscriptions</t>
  </si>
  <si>
    <t>Skills and Others</t>
  </si>
  <si>
    <t>Updates</t>
  </si>
  <si>
    <t>-May 2023: $15M investment in Sound Ventures AI Fund, 6% ownership</t>
  </si>
  <si>
    <t>-July 2022 $6M investment in Knack Technologies</t>
  </si>
  <si>
    <t>-January 2024: Sold SV stake for $3,8M gain</t>
  </si>
  <si>
    <t>Share Repurchases</t>
  </si>
  <si>
    <t xml:space="preserve">February 2024: purchased 2,115M shares </t>
  </si>
  <si>
    <t>2023: repurchased 23,505M shares</t>
  </si>
  <si>
    <t>Products</t>
  </si>
  <si>
    <t>Chegg Study</t>
  </si>
  <si>
    <t>Chegg Writing</t>
  </si>
  <si>
    <t>Chegg Math</t>
  </si>
  <si>
    <t>Busuu</t>
  </si>
  <si>
    <t>R&amp;D %</t>
  </si>
  <si>
    <t>S&amp;M %</t>
  </si>
  <si>
    <t>G&amp;A %</t>
  </si>
  <si>
    <t>Total Opex %</t>
  </si>
  <si>
    <t>EV/FCF</t>
  </si>
  <si>
    <t>Purchases of textbooks</t>
  </si>
  <si>
    <t>Acquisitions</t>
  </si>
  <si>
    <t>Proceeds from equity offering</t>
  </si>
  <si>
    <t>Payment of escrow related to acquisition</t>
  </si>
  <si>
    <t>Loss on change in fair value of derivatives</t>
  </si>
  <si>
    <t>Print textbook depreciation expense</t>
  </si>
  <si>
    <t>Gain)/loss on textbook library, net</t>
  </si>
  <si>
    <t>Gain on sale of strategic equity investments</t>
  </si>
  <si>
    <t>Realized loss on sale of investments</t>
  </si>
  <si>
    <t>Gain on foreign currency remeasurement</t>
  </si>
  <si>
    <t>Loss contingency accrual</t>
  </si>
  <si>
    <t>Impairment of intangible asset</t>
  </si>
  <si>
    <t>FCF</t>
  </si>
  <si>
    <t>Subscribers</t>
  </si>
  <si>
    <t>Revenue per Subscriber</t>
  </si>
  <si>
    <t>Discount</t>
  </si>
  <si>
    <t>Maturiy</t>
  </si>
  <si>
    <t>ROIC</t>
  </si>
  <si>
    <t>NPV</t>
  </si>
  <si>
    <t>Price</t>
  </si>
  <si>
    <t>Net Cash</t>
  </si>
  <si>
    <t>Upside</t>
  </si>
  <si>
    <t>Subscribers y/y; Q/Q</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</si>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</sst>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_-[$$-409]* #,##0.00_ ;_-[$$-409]* \-#,##0.00\ ;_-[$$-409]* &quot;-&quot;??_ ;_-@_ "/>
    <numFmt numFmtId="166" formatCode="0.0%"/>
    <numFmt numFmtId="167" formatCode="0.0\x"/>
    <numFmt numFmtId="168" formatCode="#,##0.0"/>
    <numFmt numFmtId="169" formatCode="#,##0_ ;[Red]\-#,##0\ "/>
    <numFmt numFmtId="170" formatCode="[$$-409]#,##0.00"/>
  </numFmts>
  <fonts count="5" x14ac:knownFonts="1">
    <font>
      <sz val="11"/>
      <color theme="1"/>
      <name val="Aptos Narrow"/>
      <family val="2"/>
      <scheme val="minor"/>
    </font>
    <font>
      <sz val="10"/>
      <color theme="1"/>
      <name val="Arial"/>
      <family val="2"/>
    </font>
    <font>
      <b/>
      <sz val="10"/>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165" fontId="1" fillId="0" borderId="0" xfId="0" applyNumberFormat="1" applyFont="1"/>
    <xf numFmtId="166" fontId="1" fillId="0" borderId="0" xfId="0" applyNumberFormat="1" applyFont="1"/>
    <xf numFmtId="166" fontId="2" fillId="0" borderId="0" xfId="0" applyNumberFormat="1" applyFont="1"/>
    <xf numFmtId="0" fontId="1" fillId="0" borderId="0" xfId="0" quotePrefix="1" applyFont="1"/>
    <xf numFmtId="167" fontId="1" fillId="0" borderId="0" xfId="0" applyNumberFormat="1" applyFont="1"/>
    <xf numFmtId="3" fontId="2" fillId="0" borderId="0" xfId="0" applyNumberFormat="1" applyFont="1"/>
    <xf numFmtId="9" fontId="1" fillId="0" borderId="0" xfId="0" applyNumberFormat="1" applyFont="1"/>
    <xf numFmtId="168" fontId="1" fillId="0" borderId="0" xfId="0" applyNumberFormat="1" applyFont="1"/>
    <xf numFmtId="10" fontId="1" fillId="0" borderId="0" xfId="0" applyNumberFormat="1" applyFont="1"/>
    <xf numFmtId="169" fontId="1" fillId="0" borderId="0" xfId="0" applyNumberFormat="1" applyFont="1"/>
    <xf numFmtId="170" fontId="1" fillId="0" borderId="0" xfId="0" applyNumberFormat="1" applyFont="1"/>
    <xf numFmtId="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19</xdr:col>
      <xdr:colOff>601980</xdr:colOff>
      <xdr:row>0</xdr:row>
      <xdr:rowOff>22860</xdr:rowOff>
    </xdr:from>
    <xdr:to>
      <xdr:col>20</xdr:col>
      <xdr:colOff>15240</xdr:colOff>
      <xdr:row>88</xdr:row>
      <xdr:rowOff>106680</xdr:rowOff>
    </xdr:to>
    <xdr:cxnSp macro="">
      <xdr:nvCxnSpPr>
        <xdr:cNvPr id="3" name="Straight Connector 2">
          <a:extLst>
            <a:ext uri="{FF2B5EF4-FFF2-40B4-BE49-F238E27FC236}">
              <a16:creationId xmlns:a16="http://schemas.microsoft.com/office/drawing/2014/main" id="{DA57D0A5-2E9E-FACA-9807-A1734DC8F839}"/>
            </a:ext>
          </a:extLst>
        </xdr:cNvPr>
        <xdr:cNvCxnSpPr/>
      </xdr:nvCxnSpPr>
      <xdr:spPr>
        <a:xfrm>
          <a:off x="12885420" y="22860"/>
          <a:ext cx="22860" cy="141655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https://www.bing.com/financeapi/forcetrigger?t=a1plyc&amp;q=XNYS%3aCHGG&amp;form=skydnc</v>
    <v>Learn more on Bing</v>
  </rv>
  <rv s="1">
    <v>en-GB</v>
    <v>a1plyc</v>
    <v>268435456</v>
    <v>1</v>
    <v>Powered by Refinitiv</v>
    <v>0</v>
    <v>CHEGG, INC. (XNYS:CHGG)</v>
    <v>2</v>
    <v>3</v>
    <v>Finance</v>
    <v>4</v>
    <v>11.48</v>
    <v>1.3401000000000001</v>
    <v>1.2977000000000001</v>
    <v>-0.19500000000000001</v>
    <v>-5.8230000000000001E-3</v>
    <v>-0.110169</v>
    <v>-9.1999999999999998E-3</v>
    <v>USD</v>
    <v>Chegg, Inc. provides a student-first connected learning platform. The Company is combining generative artificial intelligence (AI) and human capabilities to provide a personalized learning assistant to be included in its Chegg Study offering. Its service and product offerings fall into two categories: Subscription Services, which encompasses its Chegg Study Pack, Chegg Study, Chegg Writing, Chegg Math, and Busuu offerings that can be accessed internationally through its websites and on mobile devices, and Skills and Other, which encompasses its Chegg Skills, advertising services, print textbooks and eTextbooks offerings. Chegg Study subscribers have access to personalized, step-by-step learning support powered by AI, computational engines and subject matter experts. Chegg Study Pack is a premium subscription bundle that includes all of the benefits of Chegg Study, as well as Chegg Writing and Chegg Math. Chegg Skills offers programs on technical skills, including AI and data analytics.</v>
    <v>1903</v>
    <v>New York Stock Exchange</v>
    <v>XNYS</v>
    <v>XNYS</v>
    <v>3990 Freedom Cir, SANTA CLARA, CA, 95054 US</v>
    <v>1.59</v>
    <v>Professional &amp; Commercial Services</v>
    <v>Stock</v>
    <v>45609.954710207814</v>
    <v>0</v>
    <v>1.3401000000000001</v>
    <v>163280092</v>
    <v>CHEGG, INC.</v>
    <v>CHEGG, INC.</v>
    <v>1.47</v>
    <v>1.77</v>
    <v>1.575</v>
    <v>1.5708</v>
    <v>103669900</v>
    <v>CHGG</v>
    <v>CHEGG, INC. (XNYS:CHGG)</v>
    <v>12436559</v>
    <v>3792055</v>
    <v>2005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DC40-301B-44AB-B22B-58A76F8116C3}">
  <dimension ref="A2:L18"/>
  <sheetViews>
    <sheetView topLeftCell="D1" workbookViewId="0">
      <selection activeCell="L11" sqref="L11"/>
    </sheetView>
  </sheetViews>
  <sheetFormatPr defaultColWidth="8.88671875" defaultRowHeight="13.2" x14ac:dyDescent="0.25"/>
  <cols>
    <col min="1" max="16384" width="8.88671875" style="1"/>
  </cols>
  <sheetData>
    <row r="2" spans="1:12" x14ac:dyDescent="0.25">
      <c r="A2" s="4" t="s">
        <v>80</v>
      </c>
      <c r="G2" s="4" t="s">
        <v>68</v>
      </c>
      <c r="H2" s="1">
        <v>2005</v>
      </c>
      <c r="K2" s="4" t="s">
        <v>0</v>
      </c>
      <c r="L2" s="1" t="e" vm="1">
        <v>#VALUE!</v>
      </c>
    </row>
    <row r="3" spans="1:12" x14ac:dyDescent="0.25">
      <c r="A3" s="1" t="s">
        <v>81</v>
      </c>
      <c r="G3" s="4" t="s">
        <v>69</v>
      </c>
      <c r="H3" s="1" t="s">
        <v>70</v>
      </c>
      <c r="K3" s="4" t="s">
        <v>1</v>
      </c>
      <c r="L3" s="2" cm="1">
        <f t="array" aca="1" ref="L3" ca="1">+_FV(L2,"Price")</f>
        <v>1.575</v>
      </c>
    </row>
    <row r="4" spans="1:12" x14ac:dyDescent="0.25">
      <c r="A4" s="1" t="s">
        <v>82</v>
      </c>
      <c r="G4" s="4"/>
      <c r="K4" s="4" t="s">
        <v>2</v>
      </c>
      <c r="L4" s="3">
        <v>103.66987899999999</v>
      </c>
    </row>
    <row r="5" spans="1:12" x14ac:dyDescent="0.25">
      <c r="A5" s="1" t="s">
        <v>83</v>
      </c>
      <c r="G5" s="4"/>
      <c r="K5" s="4" t="s">
        <v>3</v>
      </c>
      <c r="L5" s="3">
        <f ca="1">+L3*L4</f>
        <v>163.28005942499999</v>
      </c>
    </row>
    <row r="6" spans="1:12" x14ac:dyDescent="0.25">
      <c r="A6" s="1" t="s">
        <v>84</v>
      </c>
      <c r="G6" s="4"/>
      <c r="K6" s="4" t="s">
        <v>4</v>
      </c>
      <c r="L6" s="3">
        <f>133.068+212.396+259.925</f>
        <v>605.38900000000001</v>
      </c>
    </row>
    <row r="7" spans="1:12" x14ac:dyDescent="0.25">
      <c r="G7" s="4"/>
      <c r="K7" s="4" t="s">
        <v>5</v>
      </c>
      <c r="L7" s="3">
        <f>357.838+243.079</f>
        <v>600.91700000000003</v>
      </c>
    </row>
    <row r="8" spans="1:12" x14ac:dyDescent="0.25">
      <c r="K8" s="4" t="s">
        <v>6</v>
      </c>
      <c r="L8" s="3">
        <f ca="1">+L5-L6+L7</f>
        <v>158.80805942500001</v>
      </c>
    </row>
    <row r="9" spans="1:12" x14ac:dyDescent="0.25">
      <c r="A9" s="4" t="s">
        <v>73</v>
      </c>
    </row>
    <row r="10" spans="1:12" x14ac:dyDescent="0.25">
      <c r="A10" s="8" t="s">
        <v>75</v>
      </c>
    </row>
    <row r="11" spans="1:12" x14ac:dyDescent="0.25">
      <c r="A11" s="8" t="s">
        <v>74</v>
      </c>
      <c r="K11" s="1" t="s">
        <v>89</v>
      </c>
      <c r="L11" s="9">
        <f ca="1">+L8/(24*4)</f>
        <v>1.6542506190104167</v>
      </c>
    </row>
    <row r="12" spans="1:12" x14ac:dyDescent="0.25">
      <c r="A12" s="8" t="s">
        <v>76</v>
      </c>
    </row>
    <row r="16" spans="1:12" x14ac:dyDescent="0.25">
      <c r="A16" s="4" t="s">
        <v>77</v>
      </c>
    </row>
    <row r="17" spans="1:1" x14ac:dyDescent="0.25">
      <c r="A17" s="1" t="s">
        <v>78</v>
      </c>
    </row>
    <row r="18" spans="1:1" x14ac:dyDescent="0.25">
      <c r="A18" s="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DA625-7BC4-4689-9A3D-F685C94B9D89}">
  <dimension ref="A2:BY89"/>
  <sheetViews>
    <sheetView tabSelected="1" workbookViewId="0">
      <pane xSplit="1" ySplit="2" topLeftCell="Q3" activePane="bottomRight" state="frozen"/>
      <selection pane="topRight" activeCell="B1" sqref="B1"/>
      <selection pane="bottomLeft" activeCell="A3" sqref="A3"/>
      <selection pane="bottomRight" activeCell="T26" sqref="T26"/>
    </sheetView>
  </sheetViews>
  <sheetFormatPr defaultColWidth="8.88671875" defaultRowHeight="13.2" x14ac:dyDescent="0.25"/>
  <cols>
    <col min="1" max="1" width="36.88671875" style="1" bestFit="1" customWidth="1"/>
    <col min="2" max="28" width="8.88671875" style="1"/>
    <col min="29" max="29" width="15.33203125" style="1" bestFit="1" customWidth="1"/>
    <col min="30" max="16384" width="8.88671875" style="1"/>
  </cols>
  <sheetData>
    <row r="2" spans="1:30" x14ac:dyDescent="0.25">
      <c r="B2" s="4" t="s">
        <v>7</v>
      </c>
      <c r="C2" s="4" t="s">
        <v>8</v>
      </c>
      <c r="D2" s="4" t="s">
        <v>9</v>
      </c>
      <c r="E2" s="4" t="s">
        <v>10</v>
      </c>
      <c r="F2" s="4" t="s">
        <v>11</v>
      </c>
      <c r="G2" s="4" t="s">
        <v>12</v>
      </c>
      <c r="H2" s="4" t="s">
        <v>13</v>
      </c>
      <c r="I2" s="4" t="s">
        <v>14</v>
      </c>
      <c r="J2" s="4" t="s">
        <v>15</v>
      </c>
      <c r="K2" s="4" t="s">
        <v>17</v>
      </c>
      <c r="L2" s="4" t="s">
        <v>16</v>
      </c>
      <c r="M2" s="4" t="s">
        <v>18</v>
      </c>
      <c r="O2" s="4">
        <v>2018</v>
      </c>
      <c r="P2" s="4">
        <f>+O2+1</f>
        <v>2019</v>
      </c>
      <c r="Q2" s="4">
        <f t="shared" ref="Q2" si="0">+P2+1</f>
        <v>2020</v>
      </c>
      <c r="R2" s="4">
        <v>2021</v>
      </c>
      <c r="S2" s="4">
        <f>+R2+1</f>
        <v>2022</v>
      </c>
      <c r="T2" s="4">
        <f t="shared" ref="T2:AA2" si="1">+S2+1</f>
        <v>2023</v>
      </c>
      <c r="U2" s="4">
        <f t="shared" si="1"/>
        <v>2024</v>
      </c>
      <c r="V2" s="4">
        <f t="shared" si="1"/>
        <v>2025</v>
      </c>
      <c r="W2" s="4">
        <f t="shared" si="1"/>
        <v>2026</v>
      </c>
      <c r="X2" s="4">
        <f t="shared" si="1"/>
        <v>2027</v>
      </c>
      <c r="Y2" s="4">
        <f t="shared" si="1"/>
        <v>2028</v>
      </c>
      <c r="Z2" s="4">
        <f t="shared" si="1"/>
        <v>2029</v>
      </c>
      <c r="AA2" s="4">
        <f t="shared" si="1"/>
        <v>2030</v>
      </c>
    </row>
    <row r="3" spans="1:30" x14ac:dyDescent="0.25">
      <c r="A3" s="1" t="s">
        <v>103</v>
      </c>
      <c r="B3" s="4">
        <v>5.3470000000000004</v>
      </c>
      <c r="C3" s="4">
        <v>5.27</v>
      </c>
      <c r="D3" s="4">
        <v>4.7830000000000004</v>
      </c>
      <c r="E3" s="4">
        <v>5.008</v>
      </c>
      <c r="F3" s="4">
        <v>5.0650000000000004</v>
      </c>
      <c r="G3" s="4">
        <v>4.8049999999999997</v>
      </c>
      <c r="H3" s="4">
        <v>4.3979999999999997</v>
      </c>
      <c r="I3" s="4">
        <v>4.5759999999999996</v>
      </c>
      <c r="J3" s="4">
        <v>4.657</v>
      </c>
      <c r="K3" s="4">
        <v>4.3689999999999998</v>
      </c>
      <c r="L3" s="4">
        <v>3.83</v>
      </c>
      <c r="O3" s="1">
        <v>3.1</v>
      </c>
      <c r="P3" s="1">
        <v>3.9</v>
      </c>
      <c r="Q3" s="1">
        <v>6.6</v>
      </c>
      <c r="R3" s="1">
        <v>7.8</v>
      </c>
      <c r="S3" s="1">
        <v>8.1</v>
      </c>
      <c r="T3" s="1">
        <v>7.7</v>
      </c>
      <c r="U3" s="12">
        <f>+T3*0.9</f>
        <v>6.9300000000000006</v>
      </c>
      <c r="V3" s="12">
        <f t="shared" ref="V3:AA3" si="2">+U3*0.9</f>
        <v>6.237000000000001</v>
      </c>
      <c r="W3" s="12">
        <f t="shared" si="2"/>
        <v>5.6133000000000006</v>
      </c>
      <c r="X3" s="12">
        <f>+W3*0.95</f>
        <v>5.3326350000000007</v>
      </c>
      <c r="Y3" s="12">
        <f t="shared" ref="Y3:AA3" si="3">+X3*0.95</f>
        <v>5.0660032500000005</v>
      </c>
      <c r="Z3" s="12">
        <f t="shared" si="3"/>
        <v>4.8127030875000001</v>
      </c>
      <c r="AA3" s="12">
        <f t="shared" si="3"/>
        <v>4.572067933125</v>
      </c>
      <c r="AC3" s="1" t="s">
        <v>105</v>
      </c>
      <c r="AD3" s="6">
        <v>0.1</v>
      </c>
    </row>
    <row r="4" spans="1:30" x14ac:dyDescent="0.25">
      <c r="B4" s="4"/>
      <c r="C4" s="4"/>
      <c r="D4" s="4"/>
      <c r="E4" s="4"/>
      <c r="F4" s="4"/>
      <c r="G4" s="4"/>
      <c r="H4" s="4"/>
      <c r="I4" s="4"/>
      <c r="J4" s="4"/>
      <c r="K4" s="4"/>
      <c r="L4" s="4"/>
      <c r="M4" s="4"/>
      <c r="R4" s="4"/>
      <c r="S4" s="4"/>
      <c r="T4" s="4"/>
      <c r="U4" s="4"/>
      <c r="V4" s="4"/>
      <c r="W4" s="4"/>
      <c r="X4" s="4"/>
      <c r="Y4" s="4"/>
      <c r="Z4" s="4"/>
      <c r="AA4" s="4"/>
      <c r="AC4" s="1" t="s">
        <v>106</v>
      </c>
      <c r="AD4" s="11">
        <v>-0.02</v>
      </c>
    </row>
    <row r="5" spans="1:30" x14ac:dyDescent="0.25">
      <c r="A5" s="1" t="s">
        <v>71</v>
      </c>
      <c r="B5" s="3">
        <v>173.03700000000001</v>
      </c>
      <c r="C5" s="3">
        <v>175.42400000000001</v>
      </c>
      <c r="D5" s="3">
        <v>146.001</v>
      </c>
      <c r="E5" s="3">
        <v>177.506</v>
      </c>
      <c r="F5" s="3">
        <v>168.44</v>
      </c>
      <c r="G5" s="3">
        <v>165.85499999999999</v>
      </c>
      <c r="H5" s="3">
        <v>139.91200000000001</v>
      </c>
      <c r="I5" s="3">
        <v>166.31299999999999</v>
      </c>
      <c r="J5" s="3">
        <v>154.05099999999999</v>
      </c>
      <c r="K5" s="3">
        <v>146.81299999999999</v>
      </c>
      <c r="L5" s="3">
        <v>119.804</v>
      </c>
      <c r="M5" s="3"/>
      <c r="O5" s="3">
        <v>321</v>
      </c>
      <c r="P5" s="3">
        <v>411</v>
      </c>
      <c r="Q5" s="3">
        <v>644</v>
      </c>
      <c r="R5" s="3">
        <v>616.81700000000001</v>
      </c>
      <c r="S5" s="3">
        <v>671.96799999999996</v>
      </c>
      <c r="T5" s="3">
        <v>640.52</v>
      </c>
      <c r="U5" s="3">
        <f>+U3*U87</f>
        <v>587.99736000000007</v>
      </c>
      <c r="V5" s="3">
        <f t="shared" ref="V5:AA5" si="4">+V3*V87</f>
        <v>539.78157648000013</v>
      </c>
      <c r="W5" s="3">
        <f t="shared" si="4"/>
        <v>495.5194872086401</v>
      </c>
      <c r="X5" s="3">
        <f t="shared" si="4"/>
        <v>480.15838310517228</v>
      </c>
      <c r="Y5" s="3">
        <f t="shared" si="4"/>
        <v>465.27347322891188</v>
      </c>
      <c r="Z5" s="3">
        <f t="shared" si="4"/>
        <v>450.84999555881558</v>
      </c>
      <c r="AA5" s="3">
        <f t="shared" si="4"/>
        <v>436.8736456964923</v>
      </c>
      <c r="AC5" s="1" t="s">
        <v>107</v>
      </c>
      <c r="AD5" s="13">
        <v>3.5000000000000003E-2</v>
      </c>
    </row>
    <row r="6" spans="1:30" x14ac:dyDescent="0.25">
      <c r="A6" s="1" t="s">
        <v>72</v>
      </c>
      <c r="B6" s="3">
        <v>29.207000000000001</v>
      </c>
      <c r="C6" s="3">
        <v>19.297000000000001</v>
      </c>
      <c r="D6" s="3">
        <v>18.738</v>
      </c>
      <c r="E6" s="3">
        <v>27.687000000000001</v>
      </c>
      <c r="F6" s="3">
        <v>19.161000000000001</v>
      </c>
      <c r="G6" s="3">
        <v>16.998000000000001</v>
      </c>
      <c r="H6" s="3">
        <v>17.942</v>
      </c>
      <c r="I6" s="3">
        <v>21.673999999999999</v>
      </c>
      <c r="J6" s="3">
        <v>20.298999999999999</v>
      </c>
      <c r="K6" s="3">
        <v>16.334</v>
      </c>
      <c r="L6" s="3">
        <v>16.789000000000001</v>
      </c>
      <c r="M6" s="3"/>
      <c r="O6" s="3"/>
      <c r="P6" s="3"/>
      <c r="Q6" s="3"/>
      <c r="R6" s="3">
        <v>159.44800000000001</v>
      </c>
      <c r="S6" s="3">
        <v>94.929000000000002</v>
      </c>
      <c r="T6" s="3">
        <v>75.775000000000006</v>
      </c>
      <c r="U6" s="3">
        <f>+T6*0.9</f>
        <v>68.197500000000005</v>
      </c>
      <c r="V6" s="3">
        <f>+U6*0.95</f>
        <v>64.787625000000006</v>
      </c>
      <c r="W6" s="3">
        <f t="shared" ref="W6:AA6" si="5">+V6*0.95</f>
        <v>61.548243750000005</v>
      </c>
      <c r="X6" s="3">
        <f t="shared" si="5"/>
        <v>58.470831562500003</v>
      </c>
      <c r="Y6" s="3">
        <f t="shared" si="5"/>
        <v>55.547289984374999</v>
      </c>
      <c r="Z6" s="3">
        <f t="shared" si="5"/>
        <v>52.769925485156243</v>
      </c>
      <c r="AA6" s="3">
        <f t="shared" si="5"/>
        <v>50.131429210898432</v>
      </c>
      <c r="AC6" s="1" t="s">
        <v>108</v>
      </c>
      <c r="AD6" s="14">
        <f>+NPV(AD3,U21:BY21)+K38</f>
        <v>241.35439319033463</v>
      </c>
    </row>
    <row r="7" spans="1:30" x14ac:dyDescent="0.25">
      <c r="B7" s="4"/>
      <c r="C7" s="4"/>
      <c r="D7" s="4"/>
      <c r="E7" s="4"/>
      <c r="F7" s="4"/>
      <c r="G7" s="4"/>
      <c r="H7" s="4"/>
      <c r="I7" s="4"/>
      <c r="J7" s="4"/>
      <c r="K7" s="4"/>
      <c r="L7" s="4"/>
      <c r="M7" s="4"/>
      <c r="O7" s="4"/>
      <c r="P7" s="4"/>
      <c r="Q7" s="4"/>
      <c r="R7" s="4"/>
      <c r="S7" s="4"/>
      <c r="T7" s="4"/>
      <c r="U7" s="4"/>
      <c r="V7" s="4"/>
      <c r="W7" s="4"/>
      <c r="X7" s="4"/>
      <c r="Y7" s="4"/>
      <c r="AC7" s="1" t="s">
        <v>109</v>
      </c>
      <c r="AD7" s="15">
        <f>+AD6/K22</f>
        <v>2.3522902926819094</v>
      </c>
    </row>
    <row r="8" spans="1:30" x14ac:dyDescent="0.25">
      <c r="A8" s="4" t="s">
        <v>19</v>
      </c>
      <c r="B8" s="10">
        <f t="shared" ref="B8:J8" si="6">+SUM(B5:B6)</f>
        <v>202.244</v>
      </c>
      <c r="C8" s="10">
        <f t="shared" si="6"/>
        <v>194.721</v>
      </c>
      <c r="D8" s="10">
        <f t="shared" si="6"/>
        <v>164.739</v>
      </c>
      <c r="E8" s="10">
        <f t="shared" si="6"/>
        <v>205.19300000000001</v>
      </c>
      <c r="F8" s="10">
        <f t="shared" si="6"/>
        <v>187.601</v>
      </c>
      <c r="G8" s="10">
        <f t="shared" si="6"/>
        <v>182.85299999999998</v>
      </c>
      <c r="H8" s="10">
        <f t="shared" si="6"/>
        <v>157.85400000000001</v>
      </c>
      <c r="I8" s="10">
        <f t="shared" si="6"/>
        <v>187.98699999999999</v>
      </c>
      <c r="J8" s="10">
        <f t="shared" si="6"/>
        <v>174.35</v>
      </c>
      <c r="K8" s="10">
        <f>+SUM(K5:K6)</f>
        <v>163.14699999999999</v>
      </c>
      <c r="L8" s="10">
        <f t="shared" ref="L8" si="7">+SUM(L5:L6)</f>
        <v>136.59300000000002</v>
      </c>
      <c r="M8" s="10"/>
      <c r="N8" s="4"/>
      <c r="O8" s="10">
        <f t="shared" ref="O8:Q8" si="8">+SUM(O5:O6)</f>
        <v>321</v>
      </c>
      <c r="P8" s="10">
        <f t="shared" si="8"/>
        <v>411</v>
      </c>
      <c r="Q8" s="10">
        <f t="shared" si="8"/>
        <v>644</v>
      </c>
      <c r="R8" s="10">
        <f t="shared" ref="R8:Y8" si="9">+SUM(R5:R6)</f>
        <v>776.26499999999999</v>
      </c>
      <c r="S8" s="10">
        <f t="shared" si="9"/>
        <v>766.89699999999993</v>
      </c>
      <c r="T8" s="10">
        <f t="shared" si="9"/>
        <v>716.29499999999996</v>
      </c>
      <c r="U8" s="10">
        <f t="shared" si="9"/>
        <v>656.19486000000006</v>
      </c>
      <c r="V8" s="10">
        <f t="shared" si="9"/>
        <v>604.56920148000017</v>
      </c>
      <c r="W8" s="10">
        <f t="shared" si="9"/>
        <v>557.06773095864014</v>
      </c>
      <c r="X8" s="10">
        <f t="shared" si="9"/>
        <v>538.62921466767227</v>
      </c>
      <c r="Y8" s="10">
        <f t="shared" si="9"/>
        <v>520.82076321328691</v>
      </c>
      <c r="Z8" s="10">
        <f t="shared" ref="Z8:AA8" si="10">+SUM(Z5:Z6)</f>
        <v>503.61992104397183</v>
      </c>
      <c r="AA8" s="10">
        <f t="shared" si="10"/>
        <v>487.00507490739074</v>
      </c>
      <c r="AC8" s="4" t="s">
        <v>111</v>
      </c>
      <c r="AD8" s="16">
        <f ca="1">+AD7/main!L3-1</f>
        <v>0.49351764614724414</v>
      </c>
    </row>
    <row r="9" spans="1:30" x14ac:dyDescent="0.25">
      <c r="A9" s="1" t="s">
        <v>20</v>
      </c>
      <c r="B9" s="3"/>
      <c r="C9" s="3"/>
      <c r="D9" s="3"/>
      <c r="E9" s="3"/>
      <c r="F9" s="3">
        <v>49.15</v>
      </c>
      <c r="G9" s="3">
        <v>47.411999999999999</v>
      </c>
      <c r="H9" s="3"/>
      <c r="I9" s="3"/>
      <c r="J9" s="3">
        <v>46.497</v>
      </c>
      <c r="K9" s="3">
        <v>45.411000000000001</v>
      </c>
      <c r="L9" s="3">
        <v>43.42</v>
      </c>
      <c r="M9" s="3"/>
      <c r="O9" s="3"/>
      <c r="P9" s="3"/>
      <c r="Q9" s="3"/>
      <c r="R9" s="3">
        <v>254.904</v>
      </c>
      <c r="S9" s="3">
        <v>197.39599999999999</v>
      </c>
      <c r="T9" s="3">
        <v>225.941</v>
      </c>
      <c r="U9" s="3">
        <f>+U8*0.3</f>
        <v>196.85845800000001</v>
      </c>
      <c r="V9" s="3">
        <f t="shared" ref="V9:AA9" si="11">+V8*0.3</f>
        <v>181.37076044400004</v>
      </c>
      <c r="W9" s="3">
        <f t="shared" si="11"/>
        <v>167.12031928759203</v>
      </c>
      <c r="X9" s="3">
        <f t="shared" si="11"/>
        <v>161.58876440030167</v>
      </c>
      <c r="Y9" s="3">
        <f t="shared" si="11"/>
        <v>156.24622896398606</v>
      </c>
      <c r="Z9" s="3">
        <f t="shared" si="11"/>
        <v>151.08597631319154</v>
      </c>
      <c r="AA9" s="3">
        <f t="shared" si="11"/>
        <v>146.10152247221723</v>
      </c>
    </row>
    <row r="10" spans="1:30" x14ac:dyDescent="0.25">
      <c r="A10" s="1" t="s">
        <v>21</v>
      </c>
      <c r="B10" s="3">
        <f t="shared" ref="B10:J10" si="12">+B8-B9</f>
        <v>202.244</v>
      </c>
      <c r="C10" s="3">
        <f t="shared" si="12"/>
        <v>194.721</v>
      </c>
      <c r="D10" s="3">
        <f t="shared" si="12"/>
        <v>164.739</v>
      </c>
      <c r="E10" s="3">
        <f t="shared" si="12"/>
        <v>205.19300000000001</v>
      </c>
      <c r="F10" s="3">
        <f t="shared" si="12"/>
        <v>138.45099999999999</v>
      </c>
      <c r="G10" s="3">
        <f t="shared" si="12"/>
        <v>135.44099999999997</v>
      </c>
      <c r="H10" s="3">
        <f t="shared" si="12"/>
        <v>157.85400000000001</v>
      </c>
      <c r="I10" s="3">
        <f t="shared" si="12"/>
        <v>187.98699999999999</v>
      </c>
      <c r="J10" s="3">
        <f t="shared" si="12"/>
        <v>127.85299999999999</v>
      </c>
      <c r="K10" s="3">
        <f>+K8-K9</f>
        <v>117.73599999999999</v>
      </c>
      <c r="L10" s="3">
        <f t="shared" ref="L10:M10" si="13">+L8-L9</f>
        <v>93.173000000000016</v>
      </c>
      <c r="M10" s="3">
        <f t="shared" si="13"/>
        <v>0</v>
      </c>
      <c r="O10" s="3">
        <f t="shared" ref="O10:Q10" si="14">+O8-O9</f>
        <v>321</v>
      </c>
      <c r="P10" s="3">
        <f t="shared" si="14"/>
        <v>411</v>
      </c>
      <c r="Q10" s="3">
        <f t="shared" si="14"/>
        <v>644</v>
      </c>
      <c r="R10" s="3">
        <f t="shared" ref="R10:Y10" si="15">+R8-R9</f>
        <v>521.36099999999999</v>
      </c>
      <c r="S10" s="3">
        <f t="shared" si="15"/>
        <v>569.50099999999998</v>
      </c>
      <c r="T10" s="3">
        <f t="shared" si="15"/>
        <v>490.35399999999993</v>
      </c>
      <c r="U10" s="3">
        <f t="shared" si="15"/>
        <v>459.33640200000002</v>
      </c>
      <c r="V10" s="3">
        <f t="shared" si="15"/>
        <v>423.19844103600013</v>
      </c>
      <c r="W10" s="3">
        <f t="shared" si="15"/>
        <v>389.94741167104814</v>
      </c>
      <c r="X10" s="3">
        <f t="shared" si="15"/>
        <v>377.0404502673706</v>
      </c>
      <c r="Y10" s="3">
        <f t="shared" si="15"/>
        <v>364.57453424930088</v>
      </c>
      <c r="Z10" s="3">
        <f t="shared" ref="Z10:AA10" si="16">+Z8-Z9</f>
        <v>352.53394473078026</v>
      </c>
      <c r="AA10" s="3">
        <f t="shared" si="16"/>
        <v>340.90355243517354</v>
      </c>
    </row>
    <row r="11" spans="1:30" x14ac:dyDescent="0.25">
      <c r="A11" s="1" t="s">
        <v>22</v>
      </c>
      <c r="B11" s="3"/>
      <c r="C11" s="3"/>
      <c r="D11" s="3"/>
      <c r="E11" s="3"/>
      <c r="F11" s="3">
        <v>46.906999999999996</v>
      </c>
      <c r="G11" s="3">
        <v>52.872</v>
      </c>
      <c r="H11" s="3"/>
      <c r="I11" s="3"/>
      <c r="J11" s="3">
        <v>44.435000000000002</v>
      </c>
      <c r="K11" s="3">
        <v>43.651000000000003</v>
      </c>
      <c r="L11" s="3">
        <v>41.337000000000003</v>
      </c>
      <c r="M11" s="3"/>
      <c r="O11" s="3"/>
      <c r="P11" s="3"/>
      <c r="Q11" s="3"/>
      <c r="R11" s="3">
        <v>178.821</v>
      </c>
      <c r="S11" s="3">
        <v>196.637</v>
      </c>
      <c r="T11" s="3">
        <v>191.70500000000001</v>
      </c>
      <c r="U11" s="3">
        <f>+U8*0.25</f>
        <v>164.04871500000002</v>
      </c>
      <c r="V11" s="3">
        <f>+V8*0.22</f>
        <v>133.00522432560004</v>
      </c>
      <c r="W11" s="3">
        <f t="shared" ref="W11:AA11" si="17">+W8*0.22</f>
        <v>122.55490081090083</v>
      </c>
      <c r="X11" s="3">
        <f t="shared" si="17"/>
        <v>118.4984272268879</v>
      </c>
      <c r="Y11" s="3">
        <f t="shared" si="17"/>
        <v>114.58056790692312</v>
      </c>
      <c r="Z11" s="3">
        <f t="shared" si="17"/>
        <v>110.7963826296738</v>
      </c>
      <c r="AA11" s="3">
        <f t="shared" si="17"/>
        <v>107.14111647962596</v>
      </c>
    </row>
    <row r="12" spans="1:30" x14ac:dyDescent="0.25">
      <c r="A12" s="1" t="s">
        <v>23</v>
      </c>
      <c r="B12" s="3"/>
      <c r="C12" s="3"/>
      <c r="D12" s="3"/>
      <c r="E12" s="3"/>
      <c r="F12" s="3">
        <v>37.017000000000003</v>
      </c>
      <c r="G12" s="3">
        <v>30.956</v>
      </c>
      <c r="H12" s="3"/>
      <c r="I12" s="3"/>
      <c r="J12" s="3">
        <v>30.375</v>
      </c>
      <c r="K12" s="3">
        <v>23.545000000000002</v>
      </c>
      <c r="L12" s="3">
        <v>26.507999999999999</v>
      </c>
      <c r="M12" s="3"/>
      <c r="O12" s="3"/>
      <c r="P12" s="3"/>
      <c r="Q12" s="3"/>
      <c r="R12" s="3">
        <v>105.414</v>
      </c>
      <c r="S12" s="3">
        <v>147.66</v>
      </c>
      <c r="T12" s="3">
        <v>126.59099999999999</v>
      </c>
      <c r="U12" s="3">
        <f>+U8*0.17</f>
        <v>111.55312620000002</v>
      </c>
      <c r="V12" s="3">
        <f>+V8*0.13</f>
        <v>78.593996192400027</v>
      </c>
      <c r="W12" s="3">
        <f t="shared" ref="W12:AA12" si="18">+W8*0.13</f>
        <v>72.418805024623225</v>
      </c>
      <c r="X12" s="3">
        <f t="shared" si="18"/>
        <v>70.021797906797403</v>
      </c>
      <c r="Y12" s="3">
        <f t="shared" si="18"/>
        <v>67.706699217727305</v>
      </c>
      <c r="Z12" s="3">
        <f t="shared" si="18"/>
        <v>65.470589735716345</v>
      </c>
      <c r="AA12" s="3">
        <f t="shared" si="18"/>
        <v>63.310659737960798</v>
      </c>
    </row>
    <row r="13" spans="1:30" x14ac:dyDescent="0.25">
      <c r="A13" s="1" t="s">
        <v>24</v>
      </c>
      <c r="B13" s="3"/>
      <c r="C13" s="3"/>
      <c r="D13" s="3"/>
      <c r="E13" s="3"/>
      <c r="F13" s="3">
        <v>58.972999999999999</v>
      </c>
      <c r="G13" s="3">
        <v>70.308999999999997</v>
      </c>
      <c r="H13" s="3"/>
      <c r="I13" s="3"/>
      <c r="J13" s="3">
        <v>55.533999999999999</v>
      </c>
      <c r="K13" s="3">
        <v>54.015999999999998</v>
      </c>
      <c r="L13" s="3">
        <v>51.91</v>
      </c>
      <c r="M13" s="3"/>
      <c r="O13" s="3"/>
      <c r="P13" s="3"/>
      <c r="Q13" s="3"/>
      <c r="R13" s="3">
        <v>159.01900000000001</v>
      </c>
      <c r="S13" s="3">
        <v>216.24700000000001</v>
      </c>
      <c r="T13" s="3">
        <v>239.78299999999999</v>
      </c>
      <c r="U13" s="3">
        <f>+T13*0.85</f>
        <v>203.81554999999997</v>
      </c>
      <c r="V13" s="3">
        <f>+U13*0.85</f>
        <v>173.24321749999999</v>
      </c>
      <c r="W13" s="3">
        <f t="shared" ref="W13:AA13" si="19">+V13*0.95</f>
        <v>164.58105662499997</v>
      </c>
      <c r="X13" s="3">
        <f t="shared" si="19"/>
        <v>156.35200379374996</v>
      </c>
      <c r="Y13" s="3">
        <f t="shared" si="19"/>
        <v>148.53440360406245</v>
      </c>
      <c r="Z13" s="3">
        <f t="shared" si="19"/>
        <v>141.10768342385933</v>
      </c>
      <c r="AA13" s="3">
        <f t="shared" si="19"/>
        <v>134.05229925266636</v>
      </c>
    </row>
    <row r="14" spans="1:30" x14ac:dyDescent="0.25">
      <c r="A14" s="1" t="s">
        <v>25</v>
      </c>
      <c r="B14" s="3"/>
      <c r="C14" s="3"/>
      <c r="D14" s="3"/>
      <c r="E14" s="3"/>
      <c r="F14" s="3"/>
      <c r="G14" s="3"/>
      <c r="H14" s="3"/>
      <c r="I14" s="3"/>
      <c r="J14" s="3"/>
      <c r="K14" s="3">
        <v>481.53100000000001</v>
      </c>
      <c r="L14" s="3">
        <v>195.708</v>
      </c>
      <c r="M14" s="3"/>
      <c r="O14" s="3"/>
      <c r="P14" s="3"/>
      <c r="Q14" s="3"/>
      <c r="R14" s="3"/>
      <c r="S14" s="3"/>
      <c r="T14" s="3"/>
      <c r="U14" s="3"/>
      <c r="V14" s="3"/>
      <c r="W14" s="3"/>
      <c r="X14" s="3"/>
      <c r="Y14" s="3"/>
      <c r="Z14" s="3"/>
      <c r="AA14" s="3"/>
    </row>
    <row r="15" spans="1:30" x14ac:dyDescent="0.25">
      <c r="A15" s="1" t="s">
        <v>26</v>
      </c>
      <c r="B15" s="3">
        <f t="shared" ref="B15:J15" si="20">+SUM(B11:B14)</f>
        <v>0</v>
      </c>
      <c r="C15" s="3">
        <f t="shared" si="20"/>
        <v>0</v>
      </c>
      <c r="D15" s="3">
        <f t="shared" si="20"/>
        <v>0</v>
      </c>
      <c r="E15" s="3">
        <f t="shared" si="20"/>
        <v>0</v>
      </c>
      <c r="F15" s="3">
        <f t="shared" si="20"/>
        <v>142.89699999999999</v>
      </c>
      <c r="G15" s="3">
        <f t="shared" si="20"/>
        <v>154.137</v>
      </c>
      <c r="H15" s="3">
        <f t="shared" si="20"/>
        <v>0</v>
      </c>
      <c r="I15" s="3">
        <f t="shared" si="20"/>
        <v>0</v>
      </c>
      <c r="J15" s="3">
        <f t="shared" si="20"/>
        <v>130.34399999999999</v>
      </c>
      <c r="K15" s="3">
        <f>+SUM(K11:K14)</f>
        <v>602.74299999999994</v>
      </c>
      <c r="L15" s="3">
        <f t="shared" ref="L15:M15" si="21">+SUM(L11:L14)</f>
        <v>315.46299999999997</v>
      </c>
      <c r="M15" s="3">
        <f t="shared" si="21"/>
        <v>0</v>
      </c>
      <c r="O15" s="3">
        <f t="shared" ref="O15:Q15" si="22">+SUM(O11:O14)</f>
        <v>0</v>
      </c>
      <c r="P15" s="3">
        <f t="shared" si="22"/>
        <v>0</v>
      </c>
      <c r="Q15" s="3">
        <f t="shared" si="22"/>
        <v>0</v>
      </c>
      <c r="R15" s="3">
        <f t="shared" ref="R15:Y15" si="23">+SUM(R11:R14)</f>
        <v>443.25400000000002</v>
      </c>
      <c r="S15" s="3">
        <f t="shared" si="23"/>
        <v>560.5440000000001</v>
      </c>
      <c r="T15" s="3">
        <f t="shared" si="23"/>
        <v>558.07899999999995</v>
      </c>
      <c r="U15" s="3">
        <f t="shared" si="23"/>
        <v>479.4173912</v>
      </c>
      <c r="V15" s="3">
        <f t="shared" si="23"/>
        <v>384.84243801800005</v>
      </c>
      <c r="W15" s="3">
        <f t="shared" si="23"/>
        <v>359.55476246052405</v>
      </c>
      <c r="X15" s="3">
        <f t="shared" si="23"/>
        <v>344.87222892743523</v>
      </c>
      <c r="Y15" s="3">
        <f t="shared" si="23"/>
        <v>330.82167072871289</v>
      </c>
      <c r="Z15" s="3">
        <f t="shared" ref="Z15:AA15" si="24">+SUM(Z11:Z14)</f>
        <v>317.37465578924946</v>
      </c>
      <c r="AA15" s="3">
        <f t="shared" si="24"/>
        <v>304.50407547025316</v>
      </c>
    </row>
    <row r="16" spans="1:30" x14ac:dyDescent="0.25">
      <c r="A16" s="1" t="s">
        <v>27</v>
      </c>
      <c r="B16" s="3">
        <f t="shared" ref="B16:J16" si="25">+B10-B15</f>
        <v>202.244</v>
      </c>
      <c r="C16" s="3">
        <f t="shared" si="25"/>
        <v>194.721</v>
      </c>
      <c r="D16" s="3">
        <f t="shared" si="25"/>
        <v>164.739</v>
      </c>
      <c r="E16" s="3">
        <f t="shared" si="25"/>
        <v>205.19300000000001</v>
      </c>
      <c r="F16" s="3">
        <f t="shared" si="25"/>
        <v>-4.445999999999998</v>
      </c>
      <c r="G16" s="3">
        <f t="shared" si="25"/>
        <v>-18.696000000000026</v>
      </c>
      <c r="H16" s="3">
        <f t="shared" si="25"/>
        <v>157.85400000000001</v>
      </c>
      <c r="I16" s="3">
        <f t="shared" si="25"/>
        <v>187.98699999999999</v>
      </c>
      <c r="J16" s="3">
        <f t="shared" si="25"/>
        <v>-2.4909999999999997</v>
      </c>
      <c r="K16" s="3">
        <f>+K10-K15</f>
        <v>-485.00699999999995</v>
      </c>
      <c r="L16" s="3">
        <f t="shared" ref="L16:M16" si="26">+L10-L15</f>
        <v>-222.28999999999996</v>
      </c>
      <c r="M16" s="3">
        <f t="shared" si="26"/>
        <v>0</v>
      </c>
      <c r="O16" s="3">
        <f t="shared" ref="O16:Q16" si="27">+O10-O15</f>
        <v>321</v>
      </c>
      <c r="P16" s="3">
        <f t="shared" si="27"/>
        <v>411</v>
      </c>
      <c r="Q16" s="3">
        <f t="shared" si="27"/>
        <v>644</v>
      </c>
      <c r="R16" s="3">
        <f t="shared" ref="R16:Y16" si="28">+R10-R15</f>
        <v>78.106999999999971</v>
      </c>
      <c r="S16" s="3">
        <f t="shared" si="28"/>
        <v>8.9569999999998799</v>
      </c>
      <c r="T16" s="3">
        <f t="shared" si="28"/>
        <v>-67.725000000000023</v>
      </c>
      <c r="U16" s="3">
        <f t="shared" si="28"/>
        <v>-20.080989199999976</v>
      </c>
      <c r="V16" s="3">
        <f t="shared" si="28"/>
        <v>38.356003018000081</v>
      </c>
      <c r="W16" s="3">
        <f t="shared" si="28"/>
        <v>30.392649210524098</v>
      </c>
      <c r="X16" s="3">
        <f t="shared" si="28"/>
        <v>32.168221339935371</v>
      </c>
      <c r="Y16" s="3">
        <f t="shared" si="28"/>
        <v>33.752863520587994</v>
      </c>
      <c r="Z16" s="3">
        <f t="shared" ref="Z16:AA16" si="29">+Z10-Z15</f>
        <v>35.159288941530804</v>
      </c>
      <c r="AA16" s="3">
        <f t="shared" si="29"/>
        <v>36.399476964920382</v>
      </c>
    </row>
    <row r="17" spans="1:77" x14ac:dyDescent="0.25">
      <c r="A17" s="1" t="s">
        <v>28</v>
      </c>
      <c r="B17" s="3"/>
      <c r="C17" s="3"/>
      <c r="D17" s="3"/>
      <c r="E17" s="3"/>
      <c r="F17" s="3">
        <v>-1.268</v>
      </c>
      <c r="G17" s="3">
        <v>-1.1140000000000001</v>
      </c>
      <c r="H17" s="3"/>
      <c r="I17" s="3"/>
      <c r="J17" s="3">
        <v>-0.65</v>
      </c>
      <c r="K17" s="3">
        <v>-0.65100000000000002</v>
      </c>
      <c r="L17" s="3">
        <v>-0.65800000000000003</v>
      </c>
      <c r="M17" s="3"/>
      <c r="O17" s="3"/>
      <c r="P17" s="3"/>
      <c r="Q17" s="3"/>
      <c r="R17" s="3">
        <v>-6.8959999999999999</v>
      </c>
      <c r="S17" s="3">
        <v>-6.04</v>
      </c>
      <c r="T17" s="3">
        <v>-3.7730000000000001</v>
      </c>
      <c r="U17" s="3"/>
      <c r="V17" s="3"/>
      <c r="W17" s="3"/>
      <c r="X17" s="3"/>
      <c r="Y17" s="3"/>
      <c r="Z17" s="3"/>
      <c r="AA17" s="3"/>
    </row>
    <row r="18" spans="1:77" x14ac:dyDescent="0.25">
      <c r="A18" s="1" t="s">
        <v>29</v>
      </c>
      <c r="B18" s="3"/>
      <c r="C18" s="3"/>
      <c r="D18" s="3"/>
      <c r="E18" s="3"/>
      <c r="F18" s="3">
        <v>12.076000000000001</v>
      </c>
      <c r="G18" s="3">
        <v>64.102999999999994</v>
      </c>
      <c r="H18" s="3"/>
      <c r="I18" s="3"/>
      <c r="J18" s="3">
        <v>10.78</v>
      </c>
      <c r="K18" s="3">
        <v>7.1189999999999998</v>
      </c>
      <c r="L18" s="3">
        <v>7.5860000000000003</v>
      </c>
      <c r="M18" s="3"/>
      <c r="O18" s="3"/>
      <c r="P18" s="3"/>
      <c r="Q18" s="3"/>
      <c r="R18" s="3">
        <v>-65.471999999999994</v>
      </c>
      <c r="S18" s="3">
        <v>101.029</v>
      </c>
      <c r="T18" s="3">
        <v>121.81</v>
      </c>
      <c r="U18" s="3">
        <f>+K38*$AD$5</f>
        <v>0.15651999999999933</v>
      </c>
      <c r="V18" s="3">
        <f>+U38*$AD$5</f>
        <v>-0.40136513760000009</v>
      </c>
      <c r="W18" s="3">
        <f t="shared" ref="W18:AA18" si="30">+V38*$AD$5</f>
        <v>0.6613647230512022</v>
      </c>
      <c r="X18" s="3">
        <f>+W38*$AD$5</f>
        <v>1.5308771131913108</v>
      </c>
      <c r="Y18" s="3">
        <f>+X38*$AD$5</f>
        <v>2.474451869878858</v>
      </c>
      <c r="Z18" s="3">
        <f t="shared" si="30"/>
        <v>3.4888167008119297</v>
      </c>
      <c r="AA18" s="3">
        <f t="shared" si="30"/>
        <v>4.5709636587975266</v>
      </c>
    </row>
    <row r="19" spans="1:77" x14ac:dyDescent="0.25">
      <c r="A19" s="1" t="s">
        <v>30</v>
      </c>
      <c r="B19" s="3">
        <f t="shared" ref="B19:I19" si="31">+B16+B17+B18</f>
        <v>202.244</v>
      </c>
      <c r="C19" s="3">
        <f t="shared" si="31"/>
        <v>194.721</v>
      </c>
      <c r="D19" s="3">
        <f t="shared" si="31"/>
        <v>164.739</v>
      </c>
      <c r="E19" s="3">
        <f t="shared" si="31"/>
        <v>205.19300000000001</v>
      </c>
      <c r="F19" s="3">
        <f t="shared" si="31"/>
        <v>6.3620000000000028</v>
      </c>
      <c r="G19" s="3">
        <f t="shared" si="31"/>
        <v>44.292999999999964</v>
      </c>
      <c r="H19" s="3">
        <f t="shared" si="31"/>
        <v>157.85400000000001</v>
      </c>
      <c r="I19" s="3">
        <f t="shared" si="31"/>
        <v>187.98699999999999</v>
      </c>
      <c r="J19" s="3">
        <f>+J16+J17+J18</f>
        <v>7.6389999999999993</v>
      </c>
      <c r="K19" s="3">
        <f>+K16+K17+K18</f>
        <v>-478.53899999999999</v>
      </c>
      <c r="L19" s="3">
        <f t="shared" ref="L19:M19" si="32">+L16+L17+L18</f>
        <v>-215.36199999999994</v>
      </c>
      <c r="M19" s="3">
        <f t="shared" si="32"/>
        <v>0</v>
      </c>
      <c r="O19" s="3">
        <f t="shared" ref="O19:Q19" si="33">+O16+O17+O18</f>
        <v>321</v>
      </c>
      <c r="P19" s="3">
        <f t="shared" si="33"/>
        <v>411</v>
      </c>
      <c r="Q19" s="3">
        <f t="shared" si="33"/>
        <v>644</v>
      </c>
      <c r="R19" s="3">
        <f t="shared" ref="R19:Y19" si="34">+R16+R17+R18</f>
        <v>5.7389999999999759</v>
      </c>
      <c r="S19" s="3">
        <f t="shared" si="34"/>
        <v>103.94599999999987</v>
      </c>
      <c r="T19" s="3">
        <f t="shared" si="34"/>
        <v>50.311999999999983</v>
      </c>
      <c r="U19" s="3">
        <f t="shared" si="34"/>
        <v>-19.924469199999976</v>
      </c>
      <c r="V19" s="3">
        <f t="shared" si="34"/>
        <v>37.954637880400078</v>
      </c>
      <c r="W19" s="3">
        <f t="shared" si="34"/>
        <v>31.054013933575302</v>
      </c>
      <c r="X19" s="3">
        <f t="shared" si="34"/>
        <v>33.69909845312668</v>
      </c>
      <c r="Y19" s="3">
        <f t="shared" si="34"/>
        <v>36.227315390466849</v>
      </c>
      <c r="Z19" s="3">
        <f t="shared" ref="Z19:AA19" si="35">+Z16+Z17+Z18</f>
        <v>38.648105642342735</v>
      </c>
      <c r="AA19" s="3">
        <f t="shared" si="35"/>
        <v>40.970440623717906</v>
      </c>
    </row>
    <row r="20" spans="1:77" x14ac:dyDescent="0.25">
      <c r="A20" s="1" t="s">
        <v>31</v>
      </c>
      <c r="B20" s="3"/>
      <c r="C20" s="3"/>
      <c r="D20" s="3"/>
      <c r="E20" s="3"/>
      <c r="F20" s="3">
        <v>4.1760000000000002</v>
      </c>
      <c r="G20" s="3">
        <v>19.681000000000001</v>
      </c>
      <c r="H20" s="3"/>
      <c r="I20" s="3"/>
      <c r="J20" s="3">
        <v>9.0589999999999993</v>
      </c>
      <c r="K20" s="3">
        <v>138.345</v>
      </c>
      <c r="L20" s="3">
        <v>-2.7229999999999999</v>
      </c>
      <c r="M20" s="3"/>
      <c r="O20" s="3"/>
      <c r="P20" s="3"/>
      <c r="Q20" s="3"/>
      <c r="R20" s="3">
        <v>7.1970000000000001</v>
      </c>
      <c r="S20" s="3">
        <v>-162.69200000000001</v>
      </c>
      <c r="T20" s="3">
        <v>32.131999999999998</v>
      </c>
      <c r="U20" s="3">
        <f>+U19*0.2</f>
        <v>-3.9848938399999954</v>
      </c>
      <c r="V20" s="3">
        <f t="shared" ref="V20:AA20" si="36">+V19*0.2</f>
        <v>7.5909275760800163</v>
      </c>
      <c r="W20" s="3">
        <f t="shared" si="36"/>
        <v>6.2108027867150604</v>
      </c>
      <c r="X20" s="3">
        <f t="shared" si="36"/>
        <v>6.7398196906253363</v>
      </c>
      <c r="Y20" s="3">
        <f t="shared" si="36"/>
        <v>7.24546307809337</v>
      </c>
      <c r="Z20" s="3">
        <f t="shared" si="36"/>
        <v>7.7296211284685477</v>
      </c>
      <c r="AA20" s="3">
        <f t="shared" si="36"/>
        <v>8.1940881247435815</v>
      </c>
    </row>
    <row r="21" spans="1:77" s="4" customFormat="1" x14ac:dyDescent="0.25">
      <c r="A21" s="4" t="s">
        <v>32</v>
      </c>
      <c r="B21" s="10">
        <f t="shared" ref="B21:J21" si="37">+B19-B20</f>
        <v>202.244</v>
      </c>
      <c r="C21" s="10">
        <f t="shared" si="37"/>
        <v>194.721</v>
      </c>
      <c r="D21" s="10">
        <f t="shared" si="37"/>
        <v>164.739</v>
      </c>
      <c r="E21" s="10">
        <f t="shared" si="37"/>
        <v>205.19300000000001</v>
      </c>
      <c r="F21" s="10">
        <f t="shared" si="37"/>
        <v>2.1860000000000026</v>
      </c>
      <c r="G21" s="10">
        <f t="shared" si="37"/>
        <v>24.611999999999963</v>
      </c>
      <c r="H21" s="10">
        <f t="shared" si="37"/>
        <v>157.85400000000001</v>
      </c>
      <c r="I21" s="10">
        <f t="shared" si="37"/>
        <v>187.98699999999999</v>
      </c>
      <c r="J21" s="10">
        <f t="shared" si="37"/>
        <v>-1.42</v>
      </c>
      <c r="K21" s="10">
        <f>+K19-K20</f>
        <v>-616.88400000000001</v>
      </c>
      <c r="L21" s="10">
        <f t="shared" ref="L21:M21" si="38">+L19-L20</f>
        <v>-212.63899999999992</v>
      </c>
      <c r="M21" s="10">
        <f t="shared" si="38"/>
        <v>0</v>
      </c>
      <c r="O21" s="10">
        <f t="shared" ref="O21:Q21" si="39">+O19-O20</f>
        <v>321</v>
      </c>
      <c r="P21" s="10">
        <f t="shared" si="39"/>
        <v>411</v>
      </c>
      <c r="Q21" s="10">
        <f t="shared" si="39"/>
        <v>644</v>
      </c>
      <c r="R21" s="10">
        <f t="shared" ref="R21:Y21" si="40">+R19-R20</f>
        <v>-1.4580000000000242</v>
      </c>
      <c r="S21" s="10">
        <f t="shared" si="40"/>
        <v>266.63799999999986</v>
      </c>
      <c r="T21" s="10">
        <f t="shared" si="40"/>
        <v>18.179999999999986</v>
      </c>
      <c r="U21" s="10">
        <f t="shared" si="40"/>
        <v>-15.939575359999981</v>
      </c>
      <c r="V21" s="10">
        <f t="shared" si="40"/>
        <v>30.363710304320062</v>
      </c>
      <c r="W21" s="10">
        <f t="shared" si="40"/>
        <v>24.843211146860241</v>
      </c>
      <c r="X21" s="10">
        <f t="shared" si="40"/>
        <v>26.959278762501345</v>
      </c>
      <c r="Y21" s="10">
        <f t="shared" si="40"/>
        <v>28.98185231237348</v>
      </c>
      <c r="Z21" s="10">
        <f t="shared" ref="Z21:AA21" si="41">+Z19-Z20</f>
        <v>30.918484513874187</v>
      </c>
      <c r="AA21" s="10">
        <f t="shared" si="41"/>
        <v>32.776352498974326</v>
      </c>
      <c r="AB21" s="10">
        <f>+AA21*(1+$AD$4)</f>
        <v>32.120825448994836</v>
      </c>
      <c r="AC21" s="10">
        <f t="shared" ref="AC21:BY21" si="42">+AB21*(1+$AD$4)</f>
        <v>31.478408940014937</v>
      </c>
      <c r="AD21" s="10">
        <f t="shared" si="42"/>
        <v>30.848840761214639</v>
      </c>
      <c r="AE21" s="10">
        <f t="shared" si="42"/>
        <v>30.231863945990344</v>
      </c>
      <c r="AF21" s="10">
        <f t="shared" si="42"/>
        <v>29.627226667070538</v>
      </c>
      <c r="AG21" s="10">
        <f t="shared" si="42"/>
        <v>29.034682133729127</v>
      </c>
      <c r="AH21" s="10">
        <f t="shared" si="42"/>
        <v>28.453988491054545</v>
      </c>
      <c r="AI21" s="10">
        <f t="shared" si="42"/>
        <v>27.884908721233455</v>
      </c>
      <c r="AJ21" s="10">
        <f t="shared" si="42"/>
        <v>27.327210546808786</v>
      </c>
      <c r="AK21" s="10">
        <f t="shared" si="42"/>
        <v>26.78066633587261</v>
      </c>
      <c r="AL21" s="10">
        <f t="shared" si="42"/>
        <v>26.245053009155157</v>
      </c>
      <c r="AM21" s="10">
        <f t="shared" si="42"/>
        <v>25.720151948972052</v>
      </c>
      <c r="AN21" s="10">
        <f t="shared" si="42"/>
        <v>25.205748909992611</v>
      </c>
      <c r="AO21" s="10">
        <f t="shared" si="42"/>
        <v>24.70163393179276</v>
      </c>
      <c r="AP21" s="10">
        <f t="shared" si="42"/>
        <v>24.207601253156906</v>
      </c>
      <c r="AQ21" s="10">
        <f t="shared" si="42"/>
        <v>23.723449228093767</v>
      </c>
      <c r="AR21" s="10">
        <f t="shared" si="42"/>
        <v>23.248980243531889</v>
      </c>
      <c r="AS21" s="10">
        <f t="shared" si="42"/>
        <v>22.784000638661251</v>
      </c>
      <c r="AT21" s="10">
        <f t="shared" si="42"/>
        <v>22.328320625888026</v>
      </c>
      <c r="AU21" s="10">
        <f t="shared" si="42"/>
        <v>21.881754213370264</v>
      </c>
      <c r="AV21" s="10">
        <f t="shared" si="42"/>
        <v>21.444119129102859</v>
      </c>
      <c r="AW21" s="10">
        <f t="shared" si="42"/>
        <v>21.015236746520802</v>
      </c>
      <c r="AX21" s="10">
        <f t="shared" si="42"/>
        <v>20.594932011590387</v>
      </c>
      <c r="AY21" s="10">
        <f t="shared" si="42"/>
        <v>20.183033371358579</v>
      </c>
      <c r="AZ21" s="10">
        <f t="shared" si="42"/>
        <v>19.779372703931408</v>
      </c>
      <c r="BA21" s="10">
        <f t="shared" si="42"/>
        <v>19.383785249852778</v>
      </c>
      <c r="BB21" s="10">
        <f t="shared" si="42"/>
        <v>18.996109544855724</v>
      </c>
      <c r="BC21" s="10">
        <f t="shared" si="42"/>
        <v>18.616187353958608</v>
      </c>
      <c r="BD21" s="10">
        <f t="shared" si="42"/>
        <v>18.243863606879437</v>
      </c>
      <c r="BE21" s="10">
        <f t="shared" si="42"/>
        <v>17.878986334741846</v>
      </c>
      <c r="BF21" s="10">
        <f t="shared" si="42"/>
        <v>17.521406608047009</v>
      </c>
      <c r="BG21" s="10">
        <f t="shared" si="42"/>
        <v>17.17097847588607</v>
      </c>
      <c r="BH21" s="10">
        <f t="shared" si="42"/>
        <v>16.827558906368349</v>
      </c>
      <c r="BI21" s="10">
        <f t="shared" si="42"/>
        <v>16.49100772824098</v>
      </c>
      <c r="BJ21" s="10">
        <f t="shared" si="42"/>
        <v>16.161187573676159</v>
      </c>
      <c r="BK21" s="10">
        <f t="shared" si="42"/>
        <v>15.837963822202635</v>
      </c>
      <c r="BL21" s="10">
        <f t="shared" si="42"/>
        <v>15.521204545758582</v>
      </c>
      <c r="BM21" s="10">
        <f t="shared" si="42"/>
        <v>15.210780454843411</v>
      </c>
      <c r="BN21" s="10">
        <f t="shared" si="42"/>
        <v>14.906564845746543</v>
      </c>
      <c r="BO21" s="10">
        <f t="shared" si="42"/>
        <v>14.608433548831611</v>
      </c>
      <c r="BP21" s="10">
        <f t="shared" si="42"/>
        <v>14.316264877854978</v>
      </c>
      <c r="BQ21" s="10">
        <f t="shared" si="42"/>
        <v>14.029939580297878</v>
      </c>
      <c r="BR21" s="10">
        <f t="shared" si="42"/>
        <v>13.749340788691921</v>
      </c>
      <c r="BS21" s="10">
        <f t="shared" si="42"/>
        <v>13.474353972918083</v>
      </c>
      <c r="BT21" s="10">
        <f t="shared" si="42"/>
        <v>13.204866893459721</v>
      </c>
      <c r="BU21" s="10">
        <f t="shared" si="42"/>
        <v>12.940769555590526</v>
      </c>
      <c r="BV21" s="10">
        <f t="shared" si="42"/>
        <v>12.681954164478714</v>
      </c>
      <c r="BW21" s="10">
        <f t="shared" si="42"/>
        <v>12.42831508118914</v>
      </c>
      <c r="BX21" s="10">
        <f t="shared" si="42"/>
        <v>12.179748779565358</v>
      </c>
      <c r="BY21" s="10">
        <f t="shared" si="42"/>
        <v>11.936153803974051</v>
      </c>
    </row>
    <row r="22" spans="1:77" x14ac:dyDescent="0.25">
      <c r="A22" s="1" t="s">
        <v>33</v>
      </c>
      <c r="B22" s="3"/>
      <c r="C22" s="3"/>
      <c r="D22" s="3"/>
      <c r="E22" s="3"/>
      <c r="F22" s="3">
        <v>124.304</v>
      </c>
      <c r="G22" s="3">
        <v>132.94399999999999</v>
      </c>
      <c r="H22" s="3"/>
      <c r="I22" s="3"/>
      <c r="J22" s="3">
        <v>102.343</v>
      </c>
      <c r="K22" s="3">
        <v>102.604</v>
      </c>
      <c r="L22" s="3">
        <v>103.723</v>
      </c>
      <c r="M22" s="3"/>
      <c r="O22" s="3"/>
      <c r="P22" s="3"/>
      <c r="Q22" s="3"/>
      <c r="R22" s="3">
        <v>141.262</v>
      </c>
      <c r="S22" s="3">
        <v>149.85900000000001</v>
      </c>
      <c r="T22" s="3">
        <v>128.56899999999999</v>
      </c>
      <c r="U22" s="3"/>
      <c r="V22" s="3"/>
      <c r="W22" s="3"/>
      <c r="X22" s="3"/>
      <c r="Y22" s="3"/>
      <c r="Z22" s="3"/>
      <c r="AA22" s="3"/>
    </row>
    <row r="23" spans="1:77" x14ac:dyDescent="0.25">
      <c r="A23" s="1" t="s">
        <v>34</v>
      </c>
      <c r="B23" s="5" t="e">
        <f t="shared" ref="B23:F23" si="43">+B21/B22</f>
        <v>#DIV/0!</v>
      </c>
      <c r="C23" s="5" t="e">
        <f t="shared" si="43"/>
        <v>#DIV/0!</v>
      </c>
      <c r="D23" s="5" t="e">
        <f t="shared" si="43"/>
        <v>#DIV/0!</v>
      </c>
      <c r="E23" s="5" t="e">
        <f t="shared" si="43"/>
        <v>#DIV/0!</v>
      </c>
      <c r="F23" s="5">
        <f t="shared" si="43"/>
        <v>1.7585918393615674E-2</v>
      </c>
      <c r="G23" s="5">
        <f>+G21/G22</f>
        <v>0.1851305812973881</v>
      </c>
      <c r="H23" s="5" t="e">
        <f t="shared" ref="H23:M23" si="44">+H21/H22</f>
        <v>#DIV/0!</v>
      </c>
      <c r="I23" s="5" t="e">
        <f t="shared" si="44"/>
        <v>#DIV/0!</v>
      </c>
      <c r="J23" s="5">
        <f t="shared" si="44"/>
        <v>-1.3874910839041263E-2</v>
      </c>
      <c r="K23" s="5">
        <f t="shared" si="44"/>
        <v>-6.0122802229932555</v>
      </c>
      <c r="L23" s="5">
        <f t="shared" si="44"/>
        <v>-2.0500660412830318</v>
      </c>
      <c r="M23" s="5" t="e">
        <f t="shared" si="44"/>
        <v>#DIV/0!</v>
      </c>
      <c r="O23" s="5" t="e">
        <f t="shared" ref="O23:Q23" si="45">+O21/O22</f>
        <v>#DIV/0!</v>
      </c>
      <c r="P23" s="5" t="e">
        <f t="shared" si="45"/>
        <v>#DIV/0!</v>
      </c>
      <c r="Q23" s="5" t="e">
        <f t="shared" si="45"/>
        <v>#DIV/0!</v>
      </c>
      <c r="R23" s="5">
        <f t="shared" ref="R23:Y23" si="46">+R21/R22</f>
        <v>-1.0321247044499045E-2</v>
      </c>
      <c r="S23" s="5">
        <f t="shared" si="46"/>
        <v>1.7792591702867351</v>
      </c>
      <c r="T23" s="5">
        <f t="shared" si="46"/>
        <v>0.14140267093933986</v>
      </c>
      <c r="U23" s="5" t="e">
        <f t="shared" si="46"/>
        <v>#DIV/0!</v>
      </c>
      <c r="V23" s="5" t="e">
        <f t="shared" si="46"/>
        <v>#DIV/0!</v>
      </c>
      <c r="W23" s="5" t="e">
        <f t="shared" si="46"/>
        <v>#DIV/0!</v>
      </c>
      <c r="X23" s="5" t="e">
        <f t="shared" si="46"/>
        <v>#DIV/0!</v>
      </c>
      <c r="Y23" s="5" t="e">
        <f t="shared" si="46"/>
        <v>#DIV/0!</v>
      </c>
      <c r="Z23" s="5" t="e">
        <f t="shared" ref="Z23:AA23" si="47">+Z21/Z22</f>
        <v>#DIV/0!</v>
      </c>
      <c r="AA23" s="5" t="e">
        <f t="shared" si="47"/>
        <v>#DIV/0!</v>
      </c>
    </row>
    <row r="25" spans="1:77" x14ac:dyDescent="0.25">
      <c r="A25" s="1" t="s">
        <v>71</v>
      </c>
      <c r="F25" s="6">
        <f t="shared" ref="F25:F26" si="48">+F5/B5-1</f>
        <v>-2.656657246716021E-2</v>
      </c>
      <c r="G25" s="6">
        <f t="shared" ref="G25:G26" si="49">+G5/C5-1</f>
        <v>-5.4547838380153313E-2</v>
      </c>
      <c r="H25" s="6">
        <f t="shared" ref="H25:H26" si="50">+H5/D5-1</f>
        <v>-4.170519380004245E-2</v>
      </c>
      <c r="I25" s="6">
        <f t="shared" ref="I25:I26" si="51">+I5/E5-1</f>
        <v>-6.3057023424560321E-2</v>
      </c>
      <c r="J25" s="6">
        <f t="shared" ref="J25:J26" si="52">+J5/F5-1</f>
        <v>-8.5425077178817421E-2</v>
      </c>
      <c r="K25" s="6">
        <f>+K5/G5-1</f>
        <v>-0.11481113020409395</v>
      </c>
      <c r="L25" s="6">
        <f t="shared" ref="L25:M26" si="53">+L5/H5-1</f>
        <v>-0.14371890902853224</v>
      </c>
      <c r="M25" s="6">
        <f t="shared" si="53"/>
        <v>-1</v>
      </c>
      <c r="S25" s="6">
        <f t="shared" ref="S25" si="54">+S5/R5-1</f>
        <v>8.941225679577558E-2</v>
      </c>
      <c r="T25" s="6">
        <f>+T5/S5-1</f>
        <v>-4.6799847611791012E-2</v>
      </c>
      <c r="U25" s="6">
        <f t="shared" ref="U25:AA26" si="55">+U5/T5-1</f>
        <v>-8.1999999999999851E-2</v>
      </c>
      <c r="V25" s="6">
        <f t="shared" si="55"/>
        <v>-8.1999999999999851E-2</v>
      </c>
      <c r="W25" s="6">
        <f t="shared" si="55"/>
        <v>-8.2000000000000073E-2</v>
      </c>
      <c r="X25" s="6">
        <f t="shared" si="55"/>
        <v>-3.0999999999999917E-2</v>
      </c>
      <c r="Y25" s="6">
        <f t="shared" si="55"/>
        <v>-3.1000000000000139E-2</v>
      </c>
      <c r="Z25" s="6">
        <f t="shared" si="55"/>
        <v>-3.1000000000000028E-2</v>
      </c>
      <c r="AA25" s="6">
        <f t="shared" si="55"/>
        <v>-3.1000000000000028E-2</v>
      </c>
    </row>
    <row r="26" spans="1:77" x14ac:dyDescent="0.25">
      <c r="A26" s="1" t="s">
        <v>72</v>
      </c>
      <c r="F26" s="6">
        <f t="shared" si="48"/>
        <v>-0.34395864005204224</v>
      </c>
      <c r="G26" s="6">
        <f t="shared" si="49"/>
        <v>-0.11913768979634132</v>
      </c>
      <c r="H26" s="6">
        <f t="shared" si="50"/>
        <v>-4.2480520866687965E-2</v>
      </c>
      <c r="I26" s="6">
        <f t="shared" si="51"/>
        <v>-0.21717773684400621</v>
      </c>
      <c r="J26" s="6">
        <f t="shared" si="52"/>
        <v>5.9391472261364209E-2</v>
      </c>
      <c r="K26" s="6">
        <f t="shared" ref="K26" si="56">+K6/G6-1</f>
        <v>-3.9063419225791374E-2</v>
      </c>
      <c r="L26" s="6">
        <f t="shared" si="53"/>
        <v>-6.4262624010701042E-2</v>
      </c>
      <c r="M26" s="6">
        <f t="shared" si="53"/>
        <v>-1</v>
      </c>
      <c r="S26" s="6">
        <f t="shared" ref="S26:T26" si="57">+S6/R6-1</f>
        <v>-0.40463975716220968</v>
      </c>
      <c r="T26" s="6" t="s">
        <v>113</v>
      </c>
      <c r="U26" s="6">
        <f t="shared" si="55"/>
        <v>-9.9999999999999978E-2</v>
      </c>
      <c r="V26" s="6">
        <f t="shared" si="55"/>
        <v>-5.0000000000000044E-2</v>
      </c>
      <c r="W26" s="6">
        <f t="shared" si="55"/>
        <v>-5.0000000000000044E-2</v>
      </c>
      <c r="X26" s="6">
        <f t="shared" si="55"/>
        <v>-5.0000000000000044E-2</v>
      </c>
      <c r="Y26" s="6">
        <f t="shared" si="55"/>
        <v>-5.0000000000000044E-2</v>
      </c>
      <c r="Z26" s="6">
        <f t="shared" si="55"/>
        <v>-5.0000000000000155E-2</v>
      </c>
      <c r="AA26" s="6">
        <f t="shared" si="55"/>
        <v>-4.9999999999999933E-2</v>
      </c>
    </row>
    <row r="27" spans="1:77" x14ac:dyDescent="0.25">
      <c r="A27" s="4" t="s">
        <v>35</v>
      </c>
      <c r="B27" s="4"/>
      <c r="C27" s="4"/>
      <c r="D27" s="4"/>
      <c r="E27" s="4"/>
      <c r="F27" s="7">
        <f t="shared" ref="F27" si="58">+F8/B8-1</f>
        <v>-7.2402642352801583E-2</v>
      </c>
      <c r="G27" s="7">
        <f t="shared" ref="G27" si="59">+G8/C8-1</f>
        <v>-6.094874204631251E-2</v>
      </c>
      <c r="H27" s="7">
        <f t="shared" ref="H27" si="60">+H8/D8-1</f>
        <v>-4.1793382259209921E-2</v>
      </c>
      <c r="I27" s="7">
        <f t="shared" ref="I27" si="61">+I8/E8-1</f>
        <v>-8.3852763008484765E-2</v>
      </c>
      <c r="J27" s="7">
        <f t="shared" ref="J27" si="62">+J8/F8-1</f>
        <v>-7.0633951844606413E-2</v>
      </c>
      <c r="K27" s="7">
        <f>+K8/G8-1</f>
        <v>-0.10776962915566046</v>
      </c>
      <c r="L27" s="7">
        <f t="shared" ref="L27:M27" si="63">+L8/H8-1</f>
        <v>-0.13468774943935535</v>
      </c>
      <c r="M27" s="7">
        <f t="shared" si="63"/>
        <v>-1</v>
      </c>
      <c r="S27" s="7">
        <f t="shared" ref="S27" si="64">+S8/R8-1</f>
        <v>-1.2068043773711401E-2</v>
      </c>
      <c r="T27" s="7">
        <f>+T8/S8-1</f>
        <v>-6.5982785171933123E-2</v>
      </c>
      <c r="U27" s="7">
        <f t="shared" ref="U27:AA27" si="65">+U8/T8-1</f>
        <v>-8.3904173559776196E-2</v>
      </c>
      <c r="V27" s="7">
        <f t="shared" si="65"/>
        <v>-7.8674280563550747E-2</v>
      </c>
      <c r="W27" s="7">
        <f t="shared" si="65"/>
        <v>-7.8570774702176771E-2</v>
      </c>
      <c r="X27" s="7">
        <f t="shared" si="65"/>
        <v>-3.3099235992789633E-2</v>
      </c>
      <c r="Y27" s="7">
        <f t="shared" si="65"/>
        <v>-3.3062542783485971E-2</v>
      </c>
      <c r="Z27" s="7">
        <f t="shared" si="65"/>
        <v>-3.3026414045384311E-2</v>
      </c>
      <c r="AA27" s="7">
        <f t="shared" si="65"/>
        <v>-3.2990843773891165E-2</v>
      </c>
    </row>
    <row r="29" spans="1:77" x14ac:dyDescent="0.25">
      <c r="A29" s="1" t="s">
        <v>36</v>
      </c>
      <c r="B29" s="6"/>
      <c r="C29" s="6"/>
      <c r="D29" s="6"/>
      <c r="E29" s="6"/>
      <c r="F29" s="6">
        <f t="shared" ref="B29:J29" si="66">+F10/F8</f>
        <v>0.73800779313543097</v>
      </c>
      <c r="G29" s="6">
        <f t="shared" si="66"/>
        <v>0.74070975045528364</v>
      </c>
      <c r="H29" s="6"/>
      <c r="I29" s="6"/>
      <c r="J29" s="6">
        <f t="shared" ref="J29" si="67">+J10/J8</f>
        <v>0.73331230283911675</v>
      </c>
      <c r="K29" s="6">
        <f>+K10/K8</f>
        <v>0.72165592992822425</v>
      </c>
      <c r="L29" s="6">
        <f t="shared" ref="L29" si="68">+L10/L8</f>
        <v>0.6821213385751832</v>
      </c>
      <c r="R29" s="6">
        <f t="shared" ref="R29:T29" si="69">+R10/R8</f>
        <v>0.67162760139900679</v>
      </c>
      <c r="S29" s="6">
        <f t="shared" si="69"/>
        <v>0.74260428714677462</v>
      </c>
      <c r="T29" s="6">
        <f t="shared" si="69"/>
        <v>0.68456990485763536</v>
      </c>
      <c r="U29" s="6">
        <f t="shared" ref="U29:AA29" si="70">+U10/U8</f>
        <v>0.7</v>
      </c>
      <c r="V29" s="6">
        <f t="shared" si="70"/>
        <v>0.70000000000000007</v>
      </c>
      <c r="W29" s="6">
        <f t="shared" si="70"/>
        <v>0.70000000000000007</v>
      </c>
      <c r="X29" s="6">
        <f t="shared" si="70"/>
        <v>0.70000000000000007</v>
      </c>
      <c r="Y29" s="6">
        <f t="shared" si="70"/>
        <v>0.70000000000000007</v>
      </c>
      <c r="Z29" s="6">
        <f t="shared" si="70"/>
        <v>0.7</v>
      </c>
      <c r="AA29" s="6">
        <f t="shared" si="70"/>
        <v>0.70000000000000007</v>
      </c>
    </row>
    <row r="30" spans="1:77" x14ac:dyDescent="0.25">
      <c r="A30" s="1" t="s">
        <v>37</v>
      </c>
      <c r="B30" s="6"/>
      <c r="C30" s="6"/>
      <c r="D30" s="6"/>
      <c r="E30" s="6"/>
      <c r="F30" s="6">
        <f t="shared" ref="B30:J30" si="71">+F16/F8</f>
        <v>-2.3699234012611863E-2</v>
      </c>
      <c r="G30" s="6">
        <f t="shared" si="71"/>
        <v>-0.10224606651244458</v>
      </c>
      <c r="H30" s="6"/>
      <c r="I30" s="6"/>
      <c r="J30" s="6">
        <f t="shared" ref="J30" si="72">+J16/J8</f>
        <v>-1.4287353025523371E-2</v>
      </c>
      <c r="K30" s="6">
        <f>+K16/K8</f>
        <v>-2.9728220561824612</v>
      </c>
      <c r="L30" s="6">
        <f t="shared" ref="L30" si="73">+L16/L8</f>
        <v>-1.6273893976997353</v>
      </c>
      <c r="R30" s="6">
        <f t="shared" ref="R30:T30" si="74">+R16/R8</f>
        <v>0.10061898964915328</v>
      </c>
      <c r="S30" s="6">
        <f t="shared" si="74"/>
        <v>1.1679534539840266E-2</v>
      </c>
      <c r="T30" s="6">
        <f t="shared" si="74"/>
        <v>-9.4549033568571639E-2</v>
      </c>
      <c r="U30" s="6">
        <f t="shared" ref="U30:AA30" si="75">+U16/U8</f>
        <v>-3.0602173872559705E-2</v>
      </c>
      <c r="V30" s="6">
        <f t="shared" si="75"/>
        <v>6.3443527927164747E-2</v>
      </c>
      <c r="W30" s="6">
        <f t="shared" si="75"/>
        <v>5.4558265577908015E-2</v>
      </c>
      <c r="X30" s="6">
        <f t="shared" si="75"/>
        <v>5.9722385017275337E-2</v>
      </c>
      <c r="Y30" s="6">
        <f t="shared" si="75"/>
        <v>6.4807062054024714E-2</v>
      </c>
      <c r="Z30" s="6">
        <f t="shared" si="75"/>
        <v>6.9813141761048386E-2</v>
      </c>
      <c r="AA30" s="6">
        <f t="shared" si="75"/>
        <v>7.4741473632163144E-2</v>
      </c>
    </row>
    <row r="31" spans="1:77" x14ac:dyDescent="0.25">
      <c r="A31" s="1" t="s">
        <v>38</v>
      </c>
      <c r="B31" s="6"/>
      <c r="C31" s="6"/>
      <c r="D31" s="6"/>
      <c r="E31" s="6"/>
      <c r="F31" s="6">
        <f t="shared" ref="B31:J31" si="76">+F21/F8</f>
        <v>1.1652389912633742E-2</v>
      </c>
      <c r="G31" s="6">
        <f t="shared" si="76"/>
        <v>0.13459992452953992</v>
      </c>
      <c r="H31" s="6"/>
      <c r="I31" s="6"/>
      <c r="J31" s="6">
        <f t="shared" ref="J31" si="77">+J21/J8</f>
        <v>-8.1445368511614564E-3</v>
      </c>
      <c r="K31" s="6">
        <f>+K21/K8</f>
        <v>-3.7811544190208832</v>
      </c>
      <c r="L31" s="6">
        <f t="shared" ref="L31" si="78">+L21/L8</f>
        <v>-1.5567342396755317</v>
      </c>
      <c r="R31" s="6">
        <f t="shared" ref="R31:T31" si="79">+R21/R8</f>
        <v>-1.8782245753705554E-3</v>
      </c>
      <c r="S31" s="6">
        <f t="shared" si="79"/>
        <v>0.34768423921334923</v>
      </c>
      <c r="T31" s="6">
        <f t="shared" si="79"/>
        <v>2.5380604359935482E-2</v>
      </c>
      <c r="U31" s="6">
        <f t="shared" ref="U31:AA31" si="80">+U21/U8</f>
        <v>-2.4290917731358001E-2</v>
      </c>
      <c r="V31" s="6">
        <f t="shared" si="80"/>
        <v>5.0223713397885561E-2</v>
      </c>
      <c r="W31" s="6">
        <f t="shared" si="80"/>
        <v>4.459639244245641E-2</v>
      </c>
      <c r="X31" s="6">
        <f t="shared" si="80"/>
        <v>5.0051645971588996E-2</v>
      </c>
      <c r="Y31" s="6">
        <f t="shared" si="80"/>
        <v>5.5646499447459259E-2</v>
      </c>
      <c r="Z31" s="6">
        <f t="shared" si="80"/>
        <v>6.1392497043766953E-2</v>
      </c>
      <c r="AA31" s="6">
        <f t="shared" si="80"/>
        <v>6.7301870530213886E-2</v>
      </c>
    </row>
    <row r="33" spans="1:27" x14ac:dyDescent="0.25">
      <c r="A33" s="1" t="s">
        <v>85</v>
      </c>
      <c r="B33" s="6"/>
      <c r="C33" s="6"/>
      <c r="D33" s="6"/>
      <c r="E33" s="6"/>
      <c r="F33" s="6">
        <f>+F11/F$8</f>
        <v>0.25003598061844018</v>
      </c>
      <c r="G33" s="6">
        <f>+G11/G$8</f>
        <v>0.28915030106150846</v>
      </c>
      <c r="H33" s="6"/>
      <c r="I33" s="6"/>
      <c r="J33" s="6">
        <f t="shared" ref="J33" si="81">+J11/J$8</f>
        <v>0.25486091195870375</v>
      </c>
      <c r="K33" s="6">
        <f>+K11/K$8</f>
        <v>0.26755625294979379</v>
      </c>
      <c r="L33" s="6">
        <f t="shared" ref="L33" si="82">+L11/L$8</f>
        <v>0.30262897805890493</v>
      </c>
      <c r="M33" s="6"/>
      <c r="R33" s="6">
        <f t="shared" ref="R33:T33" si="83">+R11/R$8</f>
        <v>0.2303607659755367</v>
      </c>
      <c r="S33" s="6">
        <f t="shared" si="83"/>
        <v>0.25640601019432857</v>
      </c>
      <c r="T33" s="6">
        <f t="shared" si="83"/>
        <v>0.26763414514969397</v>
      </c>
      <c r="U33" s="6">
        <f t="shared" ref="U33:AA33" si="84">+U11/U$8</f>
        <v>0.25</v>
      </c>
      <c r="V33" s="6">
        <f t="shared" si="84"/>
        <v>0.22</v>
      </c>
      <c r="W33" s="6">
        <f t="shared" si="84"/>
        <v>0.22</v>
      </c>
      <c r="X33" s="6">
        <f t="shared" si="84"/>
        <v>0.22</v>
      </c>
      <c r="Y33" s="6">
        <f t="shared" si="84"/>
        <v>0.22</v>
      </c>
      <c r="Z33" s="6">
        <f t="shared" si="84"/>
        <v>0.22</v>
      </c>
      <c r="AA33" s="6">
        <f t="shared" si="84"/>
        <v>0.22</v>
      </c>
    </row>
    <row r="34" spans="1:27" x14ac:dyDescent="0.25">
      <c r="A34" s="1" t="s">
        <v>86</v>
      </c>
      <c r="B34" s="6"/>
      <c r="C34" s="6"/>
      <c r="D34" s="6"/>
      <c r="E34" s="6"/>
      <c r="F34" s="6">
        <f t="shared" ref="F34" si="85">+F12/F$8</f>
        <v>0.19731771152605798</v>
      </c>
      <c r="G34" s="6">
        <f t="shared" ref="G34:G35" si="86">+G12/G$8</f>
        <v>0.16929446057762249</v>
      </c>
      <c r="H34" s="6"/>
      <c r="I34" s="6"/>
      <c r="J34" s="6">
        <f t="shared" ref="J34:K35" si="87">+J12/J$8</f>
        <v>0.17421852595354173</v>
      </c>
      <c r="K34" s="6">
        <f t="shared" si="87"/>
        <v>0.14431770121424239</v>
      </c>
      <c r="L34" s="6">
        <f t="shared" ref="L34" si="88">+L12/L$8</f>
        <v>0.19406558169159471</v>
      </c>
      <c r="M34" s="6"/>
      <c r="R34" s="6">
        <f t="shared" ref="R34:T34" si="89">+R12/R$8</f>
        <v>0.13579640973121293</v>
      </c>
      <c r="S34" s="6">
        <f t="shared" si="89"/>
        <v>0.19254215363992819</v>
      </c>
      <c r="T34" s="6">
        <f t="shared" si="89"/>
        <v>0.17673025778485121</v>
      </c>
      <c r="U34" s="6">
        <f t="shared" ref="U34:AA34" si="90">+U12/U$8</f>
        <v>0.17</v>
      </c>
      <c r="V34" s="6">
        <f t="shared" si="90"/>
        <v>0.13</v>
      </c>
      <c r="W34" s="6">
        <f t="shared" si="90"/>
        <v>0.13</v>
      </c>
      <c r="X34" s="6">
        <f t="shared" si="90"/>
        <v>0.13</v>
      </c>
      <c r="Y34" s="6">
        <f t="shared" si="90"/>
        <v>0.13</v>
      </c>
      <c r="Z34" s="6">
        <f t="shared" si="90"/>
        <v>0.13</v>
      </c>
      <c r="AA34" s="6">
        <f t="shared" si="90"/>
        <v>0.13</v>
      </c>
    </row>
    <row r="35" spans="1:27" x14ac:dyDescent="0.25">
      <c r="A35" s="1" t="s">
        <v>87</v>
      </c>
      <c r="B35" s="6"/>
      <c r="C35" s="6"/>
      <c r="D35" s="6"/>
      <c r="E35" s="6"/>
      <c r="F35" s="6">
        <f t="shared" ref="F35" si="91">+F13/F$8</f>
        <v>0.31435333500354473</v>
      </c>
      <c r="G35" s="6">
        <f t="shared" si="86"/>
        <v>0.38451105532859731</v>
      </c>
      <c r="H35" s="6"/>
      <c r="I35" s="6"/>
      <c r="J35" s="6">
        <f t="shared" si="87"/>
        <v>0.3185202179523946</v>
      </c>
      <c r="K35" s="6">
        <f t="shared" si="87"/>
        <v>0.33108791458010262</v>
      </c>
      <c r="L35" s="6">
        <f t="shared" ref="L35" si="92">+L13/L$8</f>
        <v>0.38003411595030484</v>
      </c>
      <c r="M35" s="6"/>
      <c r="R35" s="6">
        <f t="shared" ref="R35:T35" si="93">+R13/R$8</f>
        <v>0.20485143604310385</v>
      </c>
      <c r="S35" s="6">
        <f t="shared" si="93"/>
        <v>0.28197658877267745</v>
      </c>
      <c r="T35" s="6">
        <f t="shared" si="93"/>
        <v>0.33475453549166195</v>
      </c>
      <c r="U35" s="6">
        <f t="shared" ref="U35:AA35" si="94">+U13/U$8</f>
        <v>0.31060217387255967</v>
      </c>
      <c r="V35" s="6">
        <f t="shared" si="94"/>
        <v>0.28655647207283524</v>
      </c>
      <c r="W35" s="6">
        <f t="shared" si="94"/>
        <v>0.29544173442209204</v>
      </c>
      <c r="X35" s="6">
        <f t="shared" si="94"/>
        <v>0.29027761498272475</v>
      </c>
      <c r="Y35" s="6">
        <f t="shared" si="94"/>
        <v>0.28519293794597533</v>
      </c>
      <c r="Z35" s="6">
        <f t="shared" si="94"/>
        <v>0.28018685823895156</v>
      </c>
      <c r="AA35" s="6">
        <f t="shared" si="94"/>
        <v>0.27525852636783682</v>
      </c>
    </row>
    <row r="36" spans="1:27" x14ac:dyDescent="0.25">
      <c r="A36" s="1" t="s">
        <v>88</v>
      </c>
      <c r="F36" s="6">
        <f>+SUM(F33:F35)</f>
        <v>0.76170702714804284</v>
      </c>
      <c r="G36" s="6">
        <f>+SUM(G33:G35)</f>
        <v>0.84295581696772826</v>
      </c>
      <c r="J36" s="6">
        <f t="shared" ref="J36" si="95">+SUM(J33:J35)</f>
        <v>0.74759965586464006</v>
      </c>
      <c r="K36" s="6">
        <f>+SUM(K33:K35)</f>
        <v>0.74296186874413883</v>
      </c>
      <c r="L36" s="6">
        <f t="shared" ref="L36" si="96">+SUM(L33:L35)</f>
        <v>0.87672867570080448</v>
      </c>
      <c r="R36" s="6">
        <f t="shared" ref="R36:T36" si="97">+SUM(R33:R35)</f>
        <v>0.57100861174985351</v>
      </c>
      <c r="S36" s="6">
        <f t="shared" si="97"/>
        <v>0.73092475260693424</v>
      </c>
      <c r="T36" s="6">
        <f t="shared" si="97"/>
        <v>0.77911893842620716</v>
      </c>
      <c r="U36" s="6">
        <f t="shared" ref="U36:AA36" si="98">+SUM(U33:U35)</f>
        <v>0.73060217387255966</v>
      </c>
      <c r="V36" s="6">
        <f t="shared" si="98"/>
        <v>0.63655647207283517</v>
      </c>
      <c r="W36" s="6">
        <f t="shared" si="98"/>
        <v>0.64544173442209196</v>
      </c>
      <c r="X36" s="6">
        <f t="shared" si="98"/>
        <v>0.64027761498272473</v>
      </c>
      <c r="Y36" s="6">
        <f t="shared" si="98"/>
        <v>0.63519293794597531</v>
      </c>
      <c r="Z36" s="6">
        <f t="shared" si="98"/>
        <v>0.6301868582389516</v>
      </c>
      <c r="AA36" s="6">
        <f t="shared" si="98"/>
        <v>0.62525852636783674</v>
      </c>
    </row>
    <row r="38" spans="1:27" x14ac:dyDescent="0.25">
      <c r="A38" s="1" t="s">
        <v>110</v>
      </c>
      <c r="K38" s="3">
        <f>+main!L6-main!L7</f>
        <v>4.47199999999998</v>
      </c>
      <c r="U38" s="3">
        <f>+K38+U21</f>
        <v>-11.467575360000001</v>
      </c>
      <c r="V38" s="3">
        <f>+U38+V21</f>
        <v>18.89613494432006</v>
      </c>
      <c r="W38" s="3">
        <f>+V38+W21</f>
        <v>43.739346091180302</v>
      </c>
      <c r="X38" s="3">
        <f t="shared" ref="X38:AA38" si="99">+W38+X21</f>
        <v>70.69862485368165</v>
      </c>
      <c r="Y38" s="3">
        <f t="shared" si="99"/>
        <v>99.680477166055127</v>
      </c>
      <c r="Z38" s="3">
        <f t="shared" si="99"/>
        <v>130.59896167992932</v>
      </c>
      <c r="AA38" s="3">
        <f t="shared" si="99"/>
        <v>163.37531417890364</v>
      </c>
    </row>
    <row r="40" spans="1:27" x14ac:dyDescent="0.25">
      <c r="A40" s="1" t="s">
        <v>32</v>
      </c>
      <c r="B40" s="3"/>
      <c r="C40" s="3"/>
      <c r="D40" s="3"/>
      <c r="E40" s="3"/>
      <c r="F40" s="3">
        <v>2.1859999999999999</v>
      </c>
      <c r="G40" s="3">
        <f>26.798-F40</f>
        <v>24.611999999999998</v>
      </c>
      <c r="H40" s="3"/>
      <c r="I40" s="3"/>
      <c r="J40" s="3">
        <v>-1.42</v>
      </c>
      <c r="K40" s="3">
        <f>-618.304-J40</f>
        <v>-616.88400000000001</v>
      </c>
      <c r="L40" s="3"/>
      <c r="M40" s="3"/>
      <c r="R40" s="3">
        <f>+R21</f>
        <v>-1.4580000000000242</v>
      </c>
      <c r="S40" s="3">
        <f t="shared" ref="S40:T40" si="100">+S21</f>
        <v>266.63799999999986</v>
      </c>
      <c r="T40" s="3">
        <f t="shared" si="100"/>
        <v>18.179999999999986</v>
      </c>
    </row>
    <row r="41" spans="1:27" x14ac:dyDescent="0.25">
      <c r="A41" s="1" t="s">
        <v>39</v>
      </c>
      <c r="B41" s="3"/>
      <c r="C41" s="3"/>
      <c r="D41" s="3"/>
      <c r="E41" s="3"/>
      <c r="F41" s="3">
        <v>33.746000000000002</v>
      </c>
      <c r="G41" s="3">
        <f>69.666-F41</f>
        <v>35.919999999999995</v>
      </c>
      <c r="H41" s="3"/>
      <c r="I41" s="3"/>
      <c r="J41" s="3">
        <v>29.289000000000001</v>
      </c>
      <c r="K41" s="3">
        <f>47.336-J41</f>
        <v>18.046999999999997</v>
      </c>
      <c r="L41" s="3"/>
      <c r="M41" s="3"/>
      <c r="R41" s="3">
        <v>108.846</v>
      </c>
      <c r="S41" s="3">
        <v>133.45599999999999</v>
      </c>
      <c r="T41" s="3">
        <v>133.50200000000001</v>
      </c>
    </row>
    <row r="42" spans="1:27" x14ac:dyDescent="0.25">
      <c r="A42" s="1" t="s">
        <v>40</v>
      </c>
      <c r="B42" s="3"/>
      <c r="C42" s="3"/>
      <c r="D42" s="3"/>
      <c r="E42" s="3"/>
      <c r="F42" s="3">
        <v>25.542999999999999</v>
      </c>
      <c r="G42" s="3">
        <f>52.027-F42</f>
        <v>26.484000000000002</v>
      </c>
      <c r="H42" s="3"/>
      <c r="I42" s="3"/>
      <c r="J42" s="3">
        <v>19.687000000000001</v>
      </c>
      <c r="K42" s="3">
        <f>39.393-J42</f>
        <v>19.706</v>
      </c>
      <c r="L42" s="3"/>
      <c r="M42" s="3"/>
      <c r="R42" s="3">
        <v>63.274000000000001</v>
      </c>
      <c r="S42" s="3">
        <v>89.997</v>
      </c>
      <c r="T42" s="3">
        <v>129.71799999999999</v>
      </c>
    </row>
    <row r="43" spans="1:27" x14ac:dyDescent="0.25">
      <c r="A43" s="1" t="s">
        <v>41</v>
      </c>
      <c r="B43" s="3"/>
      <c r="C43" s="3"/>
      <c r="D43" s="3"/>
      <c r="E43" s="3"/>
      <c r="F43" s="3">
        <v>3.4409999999999998</v>
      </c>
      <c r="G43" s="3">
        <f>20.142-F43</f>
        <v>16.701000000000001</v>
      </c>
      <c r="H43" s="3"/>
      <c r="I43" s="3"/>
      <c r="J43" s="3">
        <v>2.8769999999999998</v>
      </c>
      <c r="K43" s="3">
        <f>141.032-J43</f>
        <v>138.155</v>
      </c>
      <c r="L43" s="3"/>
      <c r="M43" s="3"/>
      <c r="R43" s="3">
        <v>-1.1040000000000001</v>
      </c>
      <c r="S43" s="3">
        <v>-168.679</v>
      </c>
      <c r="T43" s="3">
        <v>26.574999999999999</v>
      </c>
    </row>
    <row r="44" spans="1:27" x14ac:dyDescent="0.25">
      <c r="A44" s="1" t="s">
        <v>42</v>
      </c>
      <c r="B44" s="3"/>
      <c r="C44" s="3"/>
      <c r="D44" s="3"/>
      <c r="E44" s="3"/>
      <c r="F44" s="3">
        <v>1.496</v>
      </c>
      <c r="G44" s="3">
        <f>3.009-F44</f>
        <v>1.5129999999999999</v>
      </c>
      <c r="H44" s="3"/>
      <c r="I44" s="3"/>
      <c r="J44" s="3">
        <v>1.5669999999999999</v>
      </c>
      <c r="K44" s="3">
        <f>3.141-J44</f>
        <v>1.5740000000000001</v>
      </c>
      <c r="L44" s="3"/>
      <c r="M44" s="3"/>
      <c r="R44" s="3">
        <v>5.9939999999999998</v>
      </c>
      <c r="S44" s="3">
        <v>6.327</v>
      </c>
      <c r="T44" s="3">
        <v>6.0789999999999997</v>
      </c>
    </row>
    <row r="45" spans="1:27" x14ac:dyDescent="0.25">
      <c r="A45" s="1" t="s">
        <v>43</v>
      </c>
      <c r="B45" s="3"/>
      <c r="C45" s="3"/>
      <c r="D45" s="3"/>
      <c r="E45" s="3"/>
      <c r="F45" s="3">
        <v>1.0569999999999999</v>
      </c>
      <c r="G45" s="3">
        <f>1.988-F45</f>
        <v>0.93100000000000005</v>
      </c>
      <c r="H45" s="3"/>
      <c r="I45" s="3"/>
      <c r="J45" s="3">
        <v>0.54100000000000004</v>
      </c>
      <c r="K45" s="3">
        <f>1.081-J45</f>
        <v>0.53999999999999992</v>
      </c>
      <c r="L45" s="3"/>
      <c r="M45" s="3"/>
      <c r="R45" s="3">
        <v>5.9219999999999997</v>
      </c>
      <c r="S45" s="3">
        <v>5.1660000000000004</v>
      </c>
      <c r="T45" s="3">
        <v>3.1560000000000001</v>
      </c>
    </row>
    <row r="46" spans="1:27" x14ac:dyDescent="0.25">
      <c r="A46" s="1" t="s">
        <v>44</v>
      </c>
      <c r="B46" s="3"/>
      <c r="C46" s="3"/>
      <c r="D46" s="3"/>
      <c r="E46" s="3"/>
      <c r="F46" s="3">
        <v>0.12</v>
      </c>
      <c r="G46" s="3">
        <f>0.45-F46</f>
        <v>0.33</v>
      </c>
      <c r="H46" s="3"/>
      <c r="I46" s="3"/>
      <c r="J46" s="3">
        <v>0.47799999999999998</v>
      </c>
      <c r="K46" s="3">
        <f>1.657-J46</f>
        <v>1.179</v>
      </c>
      <c r="L46" s="3"/>
      <c r="M46" s="3"/>
      <c r="R46" s="3">
        <v>2.1150000000000002</v>
      </c>
      <c r="S46" s="3">
        <v>3.5489999999999999</v>
      </c>
      <c r="T46" s="3">
        <v>4.1369999999999996</v>
      </c>
    </row>
    <row r="47" spans="1:27" x14ac:dyDescent="0.25">
      <c r="A47" s="1" t="s">
        <v>45</v>
      </c>
      <c r="B47" s="3"/>
      <c r="C47" s="3"/>
      <c r="D47" s="3"/>
      <c r="E47" s="3"/>
      <c r="F47" s="3"/>
      <c r="G47" s="3"/>
      <c r="H47" s="3"/>
      <c r="I47" s="3"/>
      <c r="J47" s="3"/>
      <c r="K47" s="3">
        <f>481.531-J47</f>
        <v>481.53100000000001</v>
      </c>
      <c r="L47" s="3"/>
      <c r="M47" s="3"/>
      <c r="R47" s="3"/>
      <c r="S47" s="3">
        <v>5.2249999999999996</v>
      </c>
      <c r="T47" s="3"/>
    </row>
    <row r="48" spans="1:27" x14ac:dyDescent="0.25">
      <c r="A48" s="1" t="s">
        <v>100</v>
      </c>
      <c r="B48" s="3"/>
      <c r="C48" s="3"/>
      <c r="D48" s="3"/>
      <c r="E48" s="3"/>
      <c r="F48" s="3"/>
      <c r="G48" s="3"/>
      <c r="H48" s="3"/>
      <c r="I48" s="3"/>
      <c r="J48" s="3"/>
      <c r="K48" s="3"/>
      <c r="L48" s="3"/>
      <c r="M48" s="3"/>
      <c r="R48" s="3"/>
      <c r="S48" s="3"/>
      <c r="T48" s="3">
        <v>7</v>
      </c>
    </row>
    <row r="49" spans="1:20" x14ac:dyDescent="0.25">
      <c r="A49" s="1" t="s">
        <v>101</v>
      </c>
      <c r="B49" s="3"/>
      <c r="C49" s="3"/>
      <c r="D49" s="3"/>
      <c r="E49" s="3"/>
      <c r="F49" s="3"/>
      <c r="G49" s="3"/>
      <c r="H49" s="3"/>
      <c r="I49" s="3"/>
      <c r="J49" s="3"/>
      <c r="K49" s="3"/>
      <c r="L49" s="3"/>
      <c r="M49" s="3"/>
      <c r="R49" s="3"/>
      <c r="S49" s="3"/>
      <c r="T49" s="3">
        <v>3.6</v>
      </c>
    </row>
    <row r="50" spans="1:20" x14ac:dyDescent="0.25">
      <c r="A50" s="1" t="s">
        <v>94</v>
      </c>
      <c r="B50" s="3"/>
      <c r="C50" s="3"/>
      <c r="D50" s="3"/>
      <c r="E50" s="3"/>
      <c r="F50" s="3"/>
      <c r="G50" s="3"/>
      <c r="H50" s="3"/>
      <c r="I50" s="3"/>
      <c r="J50" s="3"/>
      <c r="K50" s="3"/>
      <c r="L50" s="3"/>
      <c r="M50" s="3"/>
      <c r="R50" s="3">
        <v>7.1479999999999997</v>
      </c>
      <c r="S50" s="3"/>
      <c r="T50" s="3"/>
    </row>
    <row r="51" spans="1:20" x14ac:dyDescent="0.25">
      <c r="A51" s="1" t="s">
        <v>46</v>
      </c>
      <c r="B51" s="3"/>
      <c r="C51" s="3"/>
      <c r="D51" s="3"/>
      <c r="E51" s="3"/>
      <c r="F51" s="3"/>
      <c r="G51" s="3">
        <f>-53.777-F51</f>
        <v>-53.777000000000001</v>
      </c>
      <c r="H51" s="3"/>
      <c r="I51" s="3"/>
      <c r="J51" s="3"/>
      <c r="K51" s="3"/>
      <c r="L51" s="3"/>
      <c r="M51" s="3"/>
      <c r="R51" s="3">
        <v>78.152000000000001</v>
      </c>
      <c r="S51" s="3">
        <v>-93.519000000000005</v>
      </c>
      <c r="T51" s="3">
        <v>-85.926000000000002</v>
      </c>
    </row>
    <row r="52" spans="1:20" x14ac:dyDescent="0.25">
      <c r="A52" s="1" t="s">
        <v>96</v>
      </c>
      <c r="B52" s="3"/>
      <c r="C52" s="3"/>
      <c r="D52" s="3"/>
      <c r="E52" s="3"/>
      <c r="F52" s="3"/>
      <c r="G52" s="3"/>
      <c r="H52" s="3"/>
      <c r="I52" s="3"/>
      <c r="J52" s="3"/>
      <c r="K52" s="3"/>
      <c r="L52" s="3"/>
      <c r="M52" s="3"/>
      <c r="R52" s="3">
        <v>10.956</v>
      </c>
      <c r="S52" s="3">
        <v>-4.976</v>
      </c>
      <c r="T52" s="3"/>
    </row>
    <row r="53" spans="1:20" x14ac:dyDescent="0.25">
      <c r="A53" s="1" t="s">
        <v>95</v>
      </c>
      <c r="B53" s="3"/>
      <c r="C53" s="3"/>
      <c r="D53" s="3"/>
      <c r="E53" s="3"/>
      <c r="F53" s="3"/>
      <c r="G53" s="3"/>
      <c r="H53" s="3"/>
      <c r="I53" s="3"/>
      <c r="J53" s="3"/>
      <c r="K53" s="3"/>
      <c r="L53" s="3"/>
      <c r="M53" s="3"/>
      <c r="R53" s="3">
        <v>10.859</v>
      </c>
      <c r="S53" s="3">
        <v>1.61</v>
      </c>
      <c r="T53" s="3"/>
    </row>
    <row r="54" spans="1:20" x14ac:dyDescent="0.25">
      <c r="A54" s="1" t="s">
        <v>97</v>
      </c>
      <c r="B54" s="3"/>
      <c r="C54" s="3"/>
      <c r="D54" s="3"/>
      <c r="E54" s="3"/>
      <c r="F54" s="3"/>
      <c r="G54" s="3"/>
      <c r="H54" s="3"/>
      <c r="I54" s="3"/>
      <c r="J54" s="3"/>
      <c r="K54" s="3"/>
      <c r="L54" s="3"/>
      <c r="M54" s="3"/>
      <c r="R54" s="3">
        <v>-12.496</v>
      </c>
      <c r="S54" s="3"/>
      <c r="T54" s="3"/>
    </row>
    <row r="55" spans="1:20" x14ac:dyDescent="0.25">
      <c r="A55" s="1" t="s">
        <v>47</v>
      </c>
      <c r="B55" s="3"/>
      <c r="C55" s="3"/>
      <c r="D55" s="3"/>
      <c r="E55" s="3"/>
      <c r="F55" s="3"/>
      <c r="G55" s="3">
        <f>7-F55</f>
        <v>7</v>
      </c>
      <c r="H55" s="3"/>
      <c r="I55" s="3"/>
      <c r="J55" s="3"/>
      <c r="K55" s="3"/>
      <c r="L55" s="3"/>
      <c r="M55" s="3"/>
      <c r="R55" s="3"/>
      <c r="S55" s="3"/>
      <c r="T55" s="3"/>
    </row>
    <row r="56" spans="1:20" x14ac:dyDescent="0.25">
      <c r="A56" s="1" t="s">
        <v>99</v>
      </c>
      <c r="B56" s="3"/>
      <c r="C56" s="3"/>
      <c r="D56" s="3"/>
      <c r="E56" s="3"/>
      <c r="F56" s="3"/>
      <c r="G56" s="3"/>
      <c r="H56" s="3"/>
      <c r="I56" s="3"/>
      <c r="J56" s="3"/>
      <c r="K56" s="3"/>
      <c r="L56" s="3"/>
      <c r="M56" s="3"/>
      <c r="R56" s="3"/>
      <c r="S56" s="3">
        <v>-4.6280000000000001</v>
      </c>
      <c r="T56" s="3"/>
    </row>
    <row r="57" spans="1:20" x14ac:dyDescent="0.25">
      <c r="A57" s="1" t="s">
        <v>98</v>
      </c>
      <c r="B57" s="3"/>
      <c r="C57" s="3"/>
      <c r="D57" s="3"/>
      <c r="E57" s="3"/>
      <c r="F57" s="3"/>
      <c r="G57" s="3"/>
      <c r="H57" s="3"/>
      <c r="I57" s="3"/>
      <c r="J57" s="3"/>
      <c r="K57" s="3"/>
      <c r="L57" s="3"/>
      <c r="M57" s="3"/>
      <c r="R57" s="3"/>
      <c r="S57" s="3">
        <v>9.6750000000000007</v>
      </c>
      <c r="T57" s="3">
        <v>2.1059999999999999</v>
      </c>
    </row>
    <row r="58" spans="1:20" x14ac:dyDescent="0.25">
      <c r="A58" s="1" t="s">
        <v>48</v>
      </c>
      <c r="B58" s="3"/>
      <c r="C58" s="3"/>
      <c r="D58" s="3"/>
      <c r="E58" s="3"/>
      <c r="F58" s="3"/>
      <c r="G58" s="3"/>
      <c r="H58" s="3"/>
      <c r="I58" s="3"/>
      <c r="J58" s="3"/>
      <c r="K58" s="3">
        <f>2.189-J58</f>
        <v>2.1890000000000001</v>
      </c>
      <c r="L58" s="3"/>
      <c r="M58" s="3"/>
      <c r="R58" s="3"/>
      <c r="S58" s="3"/>
      <c r="T58" s="3"/>
    </row>
    <row r="59" spans="1:20" x14ac:dyDescent="0.25">
      <c r="A59" s="1" t="s">
        <v>49</v>
      </c>
      <c r="B59" s="3"/>
      <c r="C59" s="3"/>
      <c r="D59" s="3"/>
      <c r="E59" s="3"/>
      <c r="F59" s="3">
        <v>-5.0000000000000001E-3</v>
      </c>
      <c r="G59" s="3">
        <v>-1.083</v>
      </c>
      <c r="H59" s="3"/>
      <c r="I59" s="3"/>
      <c r="J59" s="3">
        <v>-3.1E-2</v>
      </c>
      <c r="K59" s="3">
        <f>0.082-J59</f>
        <v>0.113</v>
      </c>
      <c r="L59" s="3"/>
      <c r="M59" s="3"/>
      <c r="R59" s="3">
        <v>-4.7E-2</v>
      </c>
      <c r="S59" s="3">
        <v>0.378</v>
      </c>
      <c r="T59" s="3">
        <v>-1.228</v>
      </c>
    </row>
    <row r="60" spans="1:20" x14ac:dyDescent="0.25">
      <c r="A60" s="1" t="s">
        <v>50</v>
      </c>
      <c r="B60" s="3"/>
      <c r="C60" s="3"/>
      <c r="D60" s="3"/>
      <c r="E60" s="3"/>
      <c r="F60" s="3">
        <f>1.578+8.485+2.803-0.336+2.012-2.569-6.397</f>
        <v>5.5759999999999987</v>
      </c>
      <c r="G60" s="3">
        <f>3.081+15.082+5.47-0.671-3.634-1.436-8.205-F60</f>
        <v>4.1110000000000007</v>
      </c>
      <c r="H60" s="3"/>
      <c r="I60" s="3"/>
      <c r="J60" s="3">
        <f>6.705+3.583-1.27-6.589-1.159+0.64-1.58</f>
        <v>0.33000000000000007</v>
      </c>
      <c r="K60" s="3">
        <f>10.561-12.173-0.773-12.045-10.226-4.057-2.88-J60</f>
        <v>-31.923000000000002</v>
      </c>
      <c r="L60" s="3"/>
      <c r="M60" s="3"/>
      <c r="R60" s="3">
        <f>-5.004-21.854+16.387+3.241+2.523+5.199-5.607</f>
        <v>-5.1149999999999975</v>
      </c>
      <c r="S60" s="3">
        <f>-3.752+17.191+14.563-4.144+7.538-20.111-5.768</f>
        <v>5.5170000000000039</v>
      </c>
      <c r="T60" s="3">
        <f>-7.799+3.476+10.829+13.057-1.585-7.342-11.337</f>
        <v>-0.70099999999999696</v>
      </c>
    </row>
    <row r="61" spans="1:20" x14ac:dyDescent="0.25">
      <c r="A61" s="4" t="s">
        <v>51</v>
      </c>
      <c r="B61" s="10">
        <f t="shared" ref="B61:J61" si="101">+SUM(B40:B60)</f>
        <v>0</v>
      </c>
      <c r="C61" s="10">
        <f t="shared" si="101"/>
        <v>0</v>
      </c>
      <c r="D61" s="10">
        <f t="shared" si="101"/>
        <v>0</v>
      </c>
      <c r="E61" s="10">
        <f t="shared" si="101"/>
        <v>0</v>
      </c>
      <c r="F61" s="10">
        <f t="shared" si="101"/>
        <v>73.16</v>
      </c>
      <c r="G61" s="10">
        <f t="shared" si="101"/>
        <v>62.74199999999999</v>
      </c>
      <c r="H61" s="10">
        <f t="shared" si="101"/>
        <v>0</v>
      </c>
      <c r="I61" s="10">
        <f t="shared" si="101"/>
        <v>0</v>
      </c>
      <c r="J61" s="10">
        <f t="shared" si="101"/>
        <v>53.317999999999998</v>
      </c>
      <c r="K61" s="10">
        <f>+SUM(K40:K60)</f>
        <v>14.227000000000011</v>
      </c>
      <c r="L61" s="10">
        <f>107.077-K61-J61</f>
        <v>39.531999999999996</v>
      </c>
      <c r="M61" s="10"/>
      <c r="N61" s="4"/>
      <c r="O61" s="4"/>
      <c r="P61" s="4"/>
      <c r="Q61" s="4"/>
      <c r="R61" s="10">
        <f t="shared" ref="R61:S61" si="102">+SUM(R40:R60)</f>
        <v>273.04599999999994</v>
      </c>
      <c r="S61" s="10">
        <f t="shared" si="102"/>
        <v>255.73599999999982</v>
      </c>
      <c r="T61" s="10">
        <f>+SUM(T40:T60)</f>
        <v>246.19800000000001</v>
      </c>
    </row>
    <row r="63" spans="1:20" x14ac:dyDescent="0.25">
      <c r="A63" s="1" t="s">
        <v>52</v>
      </c>
      <c r="B63" s="3"/>
      <c r="C63" s="3"/>
      <c r="D63" s="3"/>
      <c r="E63" s="3"/>
      <c r="F63" s="3">
        <v>-17.166</v>
      </c>
      <c r="G63" s="3">
        <f>-33.864-F63</f>
        <v>-16.697999999999997</v>
      </c>
      <c r="H63" s="3"/>
      <c r="I63" s="3"/>
      <c r="J63" s="3">
        <v>-28.016999999999999</v>
      </c>
      <c r="K63" s="3">
        <f>-45.817-J63</f>
        <v>-17.8</v>
      </c>
      <c r="L63" s="3">
        <f>-61.659-K63-J63</f>
        <v>-15.841999999999995</v>
      </c>
      <c r="R63" s="3">
        <v>-94.18</v>
      </c>
      <c r="S63" s="3">
        <v>-103.092</v>
      </c>
      <c r="T63" s="3">
        <v>-83.052000000000007</v>
      </c>
    </row>
    <row r="64" spans="1:20" x14ac:dyDescent="0.25">
      <c r="A64" s="1" t="s">
        <v>90</v>
      </c>
      <c r="B64" s="3"/>
      <c r="C64" s="3"/>
      <c r="D64" s="3"/>
      <c r="E64" s="3"/>
      <c r="F64" s="3"/>
      <c r="G64" s="3"/>
      <c r="H64" s="3"/>
      <c r="I64" s="3"/>
      <c r="J64" s="3"/>
      <c r="K64" s="3"/>
      <c r="R64" s="3">
        <v>-10.930999999999999</v>
      </c>
      <c r="S64" s="3">
        <v>-3.8149999999999999</v>
      </c>
      <c r="T64" s="3"/>
    </row>
    <row r="65" spans="1:20" x14ac:dyDescent="0.25">
      <c r="A65" s="1" t="s">
        <v>53</v>
      </c>
      <c r="B65" s="3"/>
      <c r="C65" s="3"/>
      <c r="D65" s="3"/>
      <c r="E65" s="3"/>
      <c r="F65" s="3"/>
      <c r="G65" s="3">
        <f>9.787-F65</f>
        <v>9.7870000000000008</v>
      </c>
      <c r="H65" s="3"/>
      <c r="I65" s="3"/>
      <c r="J65" s="3"/>
      <c r="K65" s="3"/>
      <c r="R65" s="3">
        <v>8.7140000000000004</v>
      </c>
      <c r="S65" s="3">
        <v>6.0030000000000001</v>
      </c>
      <c r="T65" s="3">
        <v>9.7870000000000008</v>
      </c>
    </row>
    <row r="66" spans="1:20" x14ac:dyDescent="0.25">
      <c r="A66" s="1" t="s">
        <v>54</v>
      </c>
      <c r="B66" s="3"/>
      <c r="C66" s="3"/>
      <c r="D66" s="3"/>
      <c r="E66" s="3"/>
      <c r="F66" s="3">
        <v>-497.37200000000001</v>
      </c>
      <c r="G66" s="3">
        <f>-552.409-F66</f>
        <v>-55.036999999999978</v>
      </c>
      <c r="H66" s="3"/>
      <c r="I66" s="3"/>
      <c r="J66" s="3">
        <v>-79.028000000000006</v>
      </c>
      <c r="K66" s="3">
        <f>-123.669-J66</f>
        <v>-44.640999999999991</v>
      </c>
      <c r="R66" s="3">
        <v>-1688.384</v>
      </c>
      <c r="S66" s="3">
        <v>-730.50900000000001</v>
      </c>
      <c r="T66" s="3">
        <v>-637.93899999999996</v>
      </c>
    </row>
    <row r="67" spans="1:20" x14ac:dyDescent="0.25">
      <c r="A67" s="1" t="s">
        <v>55</v>
      </c>
      <c r="B67" s="3"/>
      <c r="C67" s="3"/>
      <c r="D67" s="3"/>
      <c r="E67" s="3"/>
      <c r="F67" s="3">
        <v>407.75900000000001</v>
      </c>
      <c r="G67" s="3">
        <f>476.862-F67</f>
        <v>69.103000000000009</v>
      </c>
      <c r="H67" s="3"/>
      <c r="I67" s="3"/>
      <c r="J67" s="3">
        <v>50.731000000000002</v>
      </c>
      <c r="K67" s="3">
        <f>89.89-J67</f>
        <v>39.158999999999999</v>
      </c>
      <c r="R67" s="3">
        <v>1204.787</v>
      </c>
      <c r="S67" s="3">
        <v>884.94</v>
      </c>
      <c r="T67" s="3">
        <v>597.197</v>
      </c>
    </row>
    <row r="68" spans="1:20" x14ac:dyDescent="0.25">
      <c r="A68" s="1" t="s">
        <v>56</v>
      </c>
      <c r="B68" s="3"/>
      <c r="C68" s="3"/>
      <c r="D68" s="3"/>
      <c r="E68" s="3"/>
      <c r="F68" s="3"/>
      <c r="G68" s="3">
        <f>238.681-F68</f>
        <v>238.68100000000001</v>
      </c>
      <c r="H68" s="3"/>
      <c r="I68" s="3"/>
      <c r="J68" s="3"/>
      <c r="K68" s="3"/>
      <c r="R68" s="3">
        <v>206.041</v>
      </c>
      <c r="S68" s="3">
        <v>458.48899999999998</v>
      </c>
      <c r="T68" s="3">
        <v>394.53300000000002</v>
      </c>
    </row>
    <row r="69" spans="1:20" x14ac:dyDescent="0.25">
      <c r="A69" s="1" t="s">
        <v>57</v>
      </c>
      <c r="B69" s="3"/>
      <c r="C69" s="3"/>
      <c r="D69" s="3"/>
      <c r="E69" s="3"/>
      <c r="F69" s="3"/>
      <c r="G69" s="3"/>
      <c r="H69" s="3"/>
      <c r="I69" s="3"/>
      <c r="J69" s="3">
        <v>15.5</v>
      </c>
      <c r="K69" s="3">
        <f>15.5-J69</f>
        <v>0</v>
      </c>
      <c r="R69" s="3">
        <v>16.076000000000001</v>
      </c>
      <c r="S69" s="3"/>
      <c r="T69" s="3"/>
    </row>
    <row r="70" spans="1:20" x14ac:dyDescent="0.25">
      <c r="A70" s="1" t="s">
        <v>91</v>
      </c>
      <c r="B70" s="3"/>
      <c r="C70" s="3"/>
      <c r="D70" s="3"/>
      <c r="E70" s="3"/>
      <c r="F70" s="3"/>
      <c r="G70" s="3"/>
      <c r="H70" s="3"/>
      <c r="I70" s="3"/>
      <c r="J70" s="3"/>
      <c r="K70" s="3"/>
      <c r="R70" s="3">
        <v>-7.891</v>
      </c>
      <c r="S70" s="3">
        <v>-401.125</v>
      </c>
      <c r="T70" s="3"/>
    </row>
    <row r="71" spans="1:20" x14ac:dyDescent="0.25">
      <c r="A71" s="1" t="s">
        <v>58</v>
      </c>
      <c r="B71" s="3"/>
      <c r="C71" s="3"/>
      <c r="D71" s="3"/>
      <c r="E71" s="3"/>
      <c r="F71" s="3"/>
      <c r="G71" s="3">
        <f>-9.604-F71</f>
        <v>-9.6039999999999992</v>
      </c>
      <c r="H71" s="3"/>
      <c r="I71" s="3"/>
      <c r="J71" s="3"/>
      <c r="K71" s="3"/>
      <c r="R71" s="3"/>
      <c r="S71" s="3">
        <v>-6</v>
      </c>
      <c r="T71" s="3">
        <v>-11.853</v>
      </c>
    </row>
    <row r="72" spans="1:20" x14ac:dyDescent="0.25">
      <c r="A72" s="4" t="s">
        <v>59</v>
      </c>
      <c r="B72" s="10">
        <f t="shared" ref="B72:J72" si="103">+SUM(B63:B71)</f>
        <v>0</v>
      </c>
      <c r="C72" s="10">
        <f t="shared" si="103"/>
        <v>0</v>
      </c>
      <c r="D72" s="10">
        <f t="shared" si="103"/>
        <v>0</v>
      </c>
      <c r="E72" s="10">
        <f t="shared" si="103"/>
        <v>0</v>
      </c>
      <c r="F72" s="10">
        <f t="shared" si="103"/>
        <v>-106.779</v>
      </c>
      <c r="G72" s="10">
        <f t="shared" si="103"/>
        <v>236.23200000000003</v>
      </c>
      <c r="H72" s="10">
        <f t="shared" si="103"/>
        <v>0</v>
      </c>
      <c r="I72" s="10">
        <f t="shared" si="103"/>
        <v>0</v>
      </c>
      <c r="J72" s="10">
        <f t="shared" si="103"/>
        <v>-40.814</v>
      </c>
      <c r="K72" s="10">
        <f>+SUM(K63:K71)</f>
        <v>-23.281999999999989</v>
      </c>
      <c r="L72" s="4"/>
      <c r="M72" s="4"/>
      <c r="N72" s="4"/>
      <c r="O72" s="4"/>
      <c r="P72" s="4"/>
      <c r="Q72" s="4"/>
      <c r="R72" s="10">
        <f>+SUM(R63:R71)</f>
        <v>-365.76799999999992</v>
      </c>
      <c r="S72" s="10">
        <f t="shared" ref="S72" si="104">+SUM(S63:S71)</f>
        <v>104.89100000000008</v>
      </c>
      <c r="T72" s="10">
        <f>+SUM(T63:T71)</f>
        <v>268.67300000000006</v>
      </c>
    </row>
    <row r="73" spans="1:20" x14ac:dyDescent="0.25">
      <c r="B73" s="3"/>
      <c r="C73" s="3"/>
      <c r="D73" s="3"/>
      <c r="E73" s="3"/>
      <c r="F73" s="3"/>
      <c r="G73" s="3"/>
      <c r="H73" s="3"/>
      <c r="I73" s="3"/>
      <c r="J73" s="3"/>
      <c r="K73" s="3"/>
    </row>
    <row r="74" spans="1:20" x14ac:dyDescent="0.25">
      <c r="A74" s="1" t="s">
        <v>60</v>
      </c>
      <c r="B74" s="3"/>
      <c r="C74" s="3"/>
      <c r="D74" s="3"/>
      <c r="E74" s="3"/>
      <c r="F74" s="3">
        <v>0.14499999999999999</v>
      </c>
      <c r="G74" s="3">
        <f>3.081-F74</f>
        <v>2.9359999999999999</v>
      </c>
      <c r="H74" s="3"/>
      <c r="I74" s="3"/>
      <c r="J74" s="3"/>
      <c r="K74" s="3">
        <f>2.19-J74</f>
        <v>2.19</v>
      </c>
      <c r="R74" s="3">
        <v>8.8870000000000005</v>
      </c>
      <c r="S74" s="3">
        <v>6.4770000000000003</v>
      </c>
      <c r="T74" s="3">
        <v>4.165</v>
      </c>
    </row>
    <row r="75" spans="1:20" x14ac:dyDescent="0.25">
      <c r="A75" s="1" t="s">
        <v>63</v>
      </c>
      <c r="B75" s="3"/>
      <c r="C75" s="3"/>
      <c r="D75" s="3"/>
      <c r="E75" s="3"/>
      <c r="F75" s="3">
        <v>-7.7359999999999998</v>
      </c>
      <c r="G75" s="3">
        <f>-11.068-F75</f>
        <v>-3.3319999999999999</v>
      </c>
      <c r="H75" s="3"/>
      <c r="I75" s="3"/>
      <c r="J75" s="3">
        <v>-4.2939999999999996</v>
      </c>
      <c r="K75" s="3">
        <f>-7.825-J75</f>
        <v>-3.5310000000000006</v>
      </c>
      <c r="R75" s="3">
        <v>-94.423000000000002</v>
      </c>
      <c r="S75" s="3">
        <v>-26.548999999999999</v>
      </c>
      <c r="T75" s="3">
        <v>-16.440000000000001</v>
      </c>
    </row>
    <row r="76" spans="1:20" x14ac:dyDescent="0.25">
      <c r="A76" s="1" t="s">
        <v>61</v>
      </c>
      <c r="B76" s="3"/>
      <c r="C76" s="3"/>
      <c r="D76" s="3"/>
      <c r="E76" s="3"/>
      <c r="F76" s="3">
        <v>-151.31100000000001</v>
      </c>
      <c r="G76" s="3">
        <f>-186.368-F76</f>
        <v>-35.056999999999988</v>
      </c>
      <c r="H76" s="3"/>
      <c r="I76" s="3"/>
      <c r="J76" s="3"/>
      <c r="K76" s="3"/>
      <c r="R76" s="3">
        <v>-300</v>
      </c>
      <c r="S76" s="3">
        <v>-323.52800000000002</v>
      </c>
      <c r="T76" s="3">
        <v>-334.80599999999998</v>
      </c>
    </row>
    <row r="77" spans="1:20" x14ac:dyDescent="0.25">
      <c r="A77" s="1" t="s">
        <v>92</v>
      </c>
      <c r="B77" s="3"/>
      <c r="C77" s="3"/>
      <c r="D77" s="3"/>
      <c r="E77" s="3"/>
      <c r="F77" s="3"/>
      <c r="G77" s="3"/>
      <c r="H77" s="3"/>
      <c r="I77" s="3"/>
      <c r="J77" s="3"/>
      <c r="K77" s="3"/>
      <c r="R77" s="3">
        <v>1091.4659999999999</v>
      </c>
      <c r="S77" s="3"/>
      <c r="T77" s="3"/>
    </row>
    <row r="78" spans="1:20" x14ac:dyDescent="0.25">
      <c r="A78" s="1" t="s">
        <v>62</v>
      </c>
      <c r="B78" s="3"/>
      <c r="C78" s="3"/>
      <c r="D78" s="3"/>
      <c r="E78" s="3"/>
      <c r="F78" s="3"/>
      <c r="G78" s="3">
        <f>-369.761-F78</f>
        <v>-369.76100000000002</v>
      </c>
      <c r="H78" s="3"/>
      <c r="I78" s="3"/>
      <c r="J78" s="3"/>
      <c r="K78" s="3"/>
      <c r="R78" s="3">
        <v>-300.762</v>
      </c>
      <c r="S78" s="3">
        <v>-401.20299999999997</v>
      </c>
      <c r="T78" s="3">
        <v>-505.98599999999999</v>
      </c>
    </row>
    <row r="79" spans="1:20" x14ac:dyDescent="0.25">
      <c r="A79" s="1" t="s">
        <v>93</v>
      </c>
      <c r="B79" s="3"/>
      <c r="C79" s="3"/>
      <c r="D79" s="3"/>
      <c r="E79" s="3"/>
      <c r="F79" s="3"/>
      <c r="G79" s="3"/>
      <c r="H79" s="3"/>
      <c r="I79" s="3"/>
      <c r="J79" s="3"/>
      <c r="K79" s="3"/>
      <c r="R79" s="3">
        <v>-7.4509999999999996</v>
      </c>
      <c r="S79" s="3"/>
      <c r="T79" s="3"/>
    </row>
    <row r="80" spans="1:20" x14ac:dyDescent="0.25">
      <c r="A80" s="1" t="s">
        <v>64</v>
      </c>
      <c r="B80" s="3"/>
      <c r="C80" s="3"/>
      <c r="D80" s="3"/>
      <c r="E80" s="3"/>
      <c r="F80" s="3"/>
      <c r="G80" s="3">
        <f>0.297-F80</f>
        <v>0.29699999999999999</v>
      </c>
      <c r="H80" s="3"/>
      <c r="I80" s="3"/>
      <c r="J80" s="3"/>
      <c r="K80" s="3"/>
      <c r="R80" s="3">
        <v>69.004999999999995</v>
      </c>
      <c r="S80" s="3"/>
      <c r="T80" s="3">
        <v>0.29699999999999999</v>
      </c>
    </row>
    <row r="81" spans="1:27" x14ac:dyDescent="0.25">
      <c r="A81" s="4" t="s">
        <v>65</v>
      </c>
      <c r="B81" s="10">
        <f t="shared" ref="B81:J81" si="105">+SUM(B74:B80)</f>
        <v>0</v>
      </c>
      <c r="C81" s="10">
        <f t="shared" si="105"/>
        <v>0</v>
      </c>
      <c r="D81" s="10">
        <f t="shared" si="105"/>
        <v>0</v>
      </c>
      <c r="E81" s="10">
        <f t="shared" si="105"/>
        <v>0</v>
      </c>
      <c r="F81" s="10">
        <f t="shared" si="105"/>
        <v>-158.90200000000002</v>
      </c>
      <c r="G81" s="10">
        <f t="shared" si="105"/>
        <v>-404.91699999999997</v>
      </c>
      <c r="H81" s="10">
        <f t="shared" si="105"/>
        <v>0</v>
      </c>
      <c r="I81" s="10">
        <f t="shared" si="105"/>
        <v>0</v>
      </c>
      <c r="J81" s="10">
        <f t="shared" si="105"/>
        <v>-4.2939999999999996</v>
      </c>
      <c r="K81" s="10">
        <f>+SUM(K74:K80)</f>
        <v>-1.3410000000000006</v>
      </c>
      <c r="L81" s="4"/>
      <c r="M81" s="4"/>
      <c r="N81" s="4"/>
      <c r="O81" s="4"/>
      <c r="P81" s="4"/>
      <c r="Q81" s="4"/>
      <c r="R81" s="10">
        <f t="shared" ref="R81:S81" si="106">+SUM(R74:R80)</f>
        <v>466.72199999999981</v>
      </c>
      <c r="S81" s="10">
        <f t="shared" si="106"/>
        <v>-744.803</v>
      </c>
      <c r="T81" s="10">
        <f>+SUM(T74:T80)</f>
        <v>-852.77</v>
      </c>
    </row>
    <row r="82" spans="1:27" x14ac:dyDescent="0.25">
      <c r="A82" s="1" t="s">
        <v>66</v>
      </c>
      <c r="F82" s="1">
        <v>0.187</v>
      </c>
      <c r="G82" s="1">
        <f>0.197-F82</f>
        <v>1.0000000000000009E-2</v>
      </c>
      <c r="J82" s="1">
        <v>-0.22600000000000001</v>
      </c>
      <c r="K82" s="1">
        <v>-0.30499999999999999</v>
      </c>
      <c r="S82" s="1">
        <v>4.1369999999999996</v>
      </c>
      <c r="T82" s="1">
        <v>2.1000000000000001E-2</v>
      </c>
    </row>
    <row r="83" spans="1:27" x14ac:dyDescent="0.25">
      <c r="A83" s="1" t="s">
        <v>67</v>
      </c>
      <c r="B83" s="3">
        <f t="shared" ref="B83:F83" si="107">+B61+B72+B81+B82</f>
        <v>0</v>
      </c>
      <c r="C83" s="3">
        <f t="shared" si="107"/>
        <v>0</v>
      </c>
      <c r="D83" s="3">
        <f t="shared" si="107"/>
        <v>0</v>
      </c>
      <c r="E83" s="3">
        <f t="shared" si="107"/>
        <v>0</v>
      </c>
      <c r="F83" s="3">
        <f t="shared" si="107"/>
        <v>-192.334</v>
      </c>
      <c r="G83" s="3">
        <f>+G61+G72+G81+G82</f>
        <v>-105.93299999999992</v>
      </c>
      <c r="H83" s="3">
        <f t="shared" ref="H83:K83" si="108">+H61+H72+H81+H82</f>
        <v>0</v>
      </c>
      <c r="I83" s="3">
        <f t="shared" si="108"/>
        <v>0</v>
      </c>
      <c r="J83" s="3">
        <f t="shared" si="108"/>
        <v>7.9839999999999973</v>
      </c>
      <c r="K83" s="3">
        <f t="shared" si="108"/>
        <v>-10.700999999999979</v>
      </c>
      <c r="R83" s="3">
        <f t="shared" ref="R83" si="109">+R61+R72+R81+R82</f>
        <v>373.99999999999983</v>
      </c>
      <c r="S83" s="3">
        <f>+S61+S72+S81+S82</f>
        <v>-380.0390000000001</v>
      </c>
      <c r="T83" s="3">
        <f t="shared" ref="T83" si="110">+T61+T72+T81+T82</f>
        <v>-337.87799999999987</v>
      </c>
    </row>
    <row r="85" spans="1:27" x14ac:dyDescent="0.25">
      <c r="A85" s="1" t="s">
        <v>102</v>
      </c>
      <c r="H85" s="3">
        <v>9.3729999999999993</v>
      </c>
      <c r="K85" s="3">
        <f>133.068+212.396+259.925-243.079-357.838</f>
        <v>4.47199999999998</v>
      </c>
      <c r="L85" s="3">
        <f>+L61+L63</f>
        <v>23.69</v>
      </c>
      <c r="O85" s="3">
        <v>43.89</v>
      </c>
      <c r="P85" s="3">
        <v>71.076999999999998</v>
      </c>
      <c r="Q85" s="3">
        <v>104.127</v>
      </c>
      <c r="R85" s="3">
        <v>176.827</v>
      </c>
      <c r="S85" s="3">
        <v>154.834</v>
      </c>
      <c r="T85" s="3">
        <v>172.93299999999999</v>
      </c>
    </row>
    <row r="87" spans="1:27" x14ac:dyDescent="0.25">
      <c r="A87" s="1" t="s">
        <v>104</v>
      </c>
      <c r="O87" s="5">
        <f t="shared" ref="O87:S87" si="111">+O5/O3</f>
        <v>103.54838709677419</v>
      </c>
      <c r="P87" s="5">
        <f t="shared" si="111"/>
        <v>105.38461538461539</v>
      </c>
      <c r="Q87" s="5">
        <f t="shared" si="111"/>
        <v>97.575757575757578</v>
      </c>
      <c r="R87" s="5">
        <f t="shared" si="111"/>
        <v>79.07910256410257</v>
      </c>
      <c r="S87" s="5">
        <f t="shared" si="111"/>
        <v>82.959012345679014</v>
      </c>
      <c r="T87" s="5">
        <f>+T5/T3</f>
        <v>83.184415584415575</v>
      </c>
      <c r="U87" s="5">
        <f>+T87*1.02</f>
        <v>84.848103896103893</v>
      </c>
      <c r="V87" s="5">
        <f t="shared" ref="V87:AA87" si="112">+U87*1.02</f>
        <v>86.545065974025974</v>
      </c>
      <c r="W87" s="5">
        <f t="shared" si="112"/>
        <v>88.275967293506497</v>
      </c>
      <c r="X87" s="5">
        <f t="shared" si="112"/>
        <v>90.041486639376629</v>
      </c>
      <c r="Y87" s="5">
        <f t="shared" si="112"/>
        <v>91.842316372164163</v>
      </c>
      <c r="Z87" s="5">
        <f t="shared" si="112"/>
        <v>93.679162699607446</v>
      </c>
      <c r="AA87" s="5">
        <f t="shared" si="112"/>
        <v>95.552745953599597</v>
      </c>
    </row>
    <row r="88" spans="1:27" x14ac:dyDescent="0.25">
      <c r="P88" s="6">
        <f t="shared" ref="P88:S88" si="113">+P87/O87-1</f>
        <v>1.7733045770429001E-2</v>
      </c>
      <c r="Q88" s="6">
        <f t="shared" si="113"/>
        <v>-7.4098650740986538E-2</v>
      </c>
      <c r="R88" s="6">
        <f t="shared" si="113"/>
        <v>-0.18956199235547055</v>
      </c>
      <c r="S88" s="6">
        <f t="shared" si="113"/>
        <v>4.9063654692228509E-2</v>
      </c>
      <c r="T88" s="6">
        <f>+T87/S87-1</f>
        <v>2.717043421362586E-3</v>
      </c>
      <c r="U88" s="6">
        <f t="shared" ref="U88:AA88" si="114">+U87/T87-1</f>
        <v>2.0000000000000018E-2</v>
      </c>
      <c r="V88" s="6">
        <f t="shared" si="114"/>
        <v>2.0000000000000018E-2</v>
      </c>
      <c r="W88" s="6">
        <f t="shared" si="114"/>
        <v>2.0000000000000018E-2</v>
      </c>
      <c r="X88" s="6">
        <f t="shared" si="114"/>
        <v>2.0000000000000018E-2</v>
      </c>
      <c r="Y88" s="6">
        <f t="shared" si="114"/>
        <v>2.0000000000000018E-2</v>
      </c>
      <c r="Z88" s="6">
        <f t="shared" si="114"/>
        <v>2.0000000000000018E-2</v>
      </c>
      <c r="AA88" s="6">
        <f t="shared" si="114"/>
        <v>2.0000000000000018E-2</v>
      </c>
    </row>
    <row r="89" spans="1:27" x14ac:dyDescent="0.25">
      <c r="A89" s="1" t="s">
        <v>112</v>
      </c>
      <c r="C89" s="11">
        <f t="shared" ref="C89:L89" si="115">+C3/B3-1</f>
        <v>-1.4400598466429937E-2</v>
      </c>
      <c r="D89" s="11">
        <f t="shared" si="115"/>
        <v>-9.2409867172675408E-2</v>
      </c>
      <c r="E89" s="11">
        <f t="shared" si="115"/>
        <v>4.7041605686807264E-2</v>
      </c>
      <c r="F89" s="11">
        <f t="shared" si="115"/>
        <v>1.1381789137380194E-2</v>
      </c>
      <c r="G89" s="11">
        <f t="shared" si="115"/>
        <v>-5.1332675222112711E-2</v>
      </c>
      <c r="H89" s="11">
        <f t="shared" si="115"/>
        <v>-8.470343392299684E-2</v>
      </c>
      <c r="I89" s="11">
        <f t="shared" si="115"/>
        <v>4.0472942246475574E-2</v>
      </c>
      <c r="J89" s="11">
        <f t="shared" si="115"/>
        <v>1.7701048951048959E-2</v>
      </c>
      <c r="K89" s="11">
        <f t="shared" si="115"/>
        <v>-6.1842387803306864E-2</v>
      </c>
      <c r="L89" s="11">
        <f>+L3/K3-1</f>
        <v>-0.12336919203479046</v>
      </c>
      <c r="P89" s="6">
        <f t="shared" ref="P89:S89" si="116">+P3/O3-1</f>
        <v>0.25806451612903225</v>
      </c>
      <c r="Q89" s="6">
        <f t="shared" si="116"/>
        <v>0.69230769230769229</v>
      </c>
      <c r="R89" s="6">
        <f t="shared" si="116"/>
        <v>0.18181818181818188</v>
      </c>
      <c r="S89" s="6">
        <f t="shared" si="116"/>
        <v>3.8461538461538547E-2</v>
      </c>
      <c r="T89" s="6">
        <f>+T3/S3-1</f>
        <v>-4.9382716049382602E-2</v>
      </c>
      <c r="U89" s="6">
        <f t="shared" ref="U89:AA89" si="117">+U3/T3-1</f>
        <v>-9.9999999999999978E-2</v>
      </c>
      <c r="V89" s="6">
        <f t="shared" si="117"/>
        <v>-9.9999999999999978E-2</v>
      </c>
      <c r="W89" s="6">
        <f t="shared" si="117"/>
        <v>-0.10000000000000009</v>
      </c>
      <c r="X89" s="6">
        <f t="shared" si="117"/>
        <v>-4.9999999999999933E-2</v>
      </c>
      <c r="Y89" s="6">
        <f t="shared" si="117"/>
        <v>-5.0000000000000044E-2</v>
      </c>
      <c r="Z89" s="6">
        <f t="shared" si="117"/>
        <v>-5.0000000000000044E-2</v>
      </c>
      <c r="AA89" s="6">
        <f t="shared" si="117"/>
        <v>-5.0000000000000044E-2</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2024-09-26T11:25:37Z</dcterms:created>
  <dcterms:modified xsi:type="dcterms:W3CDTF">2024-11-13T23:28:53Z</dcterms:modified>
</cp:coreProperties>
</file>