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163" documentId="8_{C23721CA-1D3A-4CE6-954E-F8DF5C3148C1}" xr6:coauthVersionLast="47" xr6:coauthVersionMax="47" xr10:uidLastSave="{74413303-8CF2-4A65-8154-E50E9483641F}"/>
  <bookViews>
    <workbookView xWindow="14295" yWindow="0" windowWidth="14610" windowHeight="15585" activeTab="1" xr2:uid="{5BA816E4-15FB-4501-B407-0A49B71362CB}"/>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7" i="2" l="1"/>
  <c r="R7" i="2" s="1"/>
  <c r="P30" i="2"/>
  <c r="P20" i="2"/>
  <c r="R10" i="2"/>
  <c r="S10" i="2" s="1"/>
  <c r="T10" i="2" s="1"/>
  <c r="U10" i="2" s="1"/>
  <c r="V10" i="2" s="1"/>
  <c r="Q10" i="2"/>
  <c r="P14" i="2"/>
  <c r="Q11" i="2"/>
  <c r="R11" i="2" s="1"/>
  <c r="S11" i="2" s="1"/>
  <c r="T11" i="2" s="1"/>
  <c r="U11" i="2" s="1"/>
  <c r="V11" i="2" s="1"/>
  <c r="P11" i="2"/>
  <c r="P8" i="2"/>
  <c r="P28" i="2"/>
  <c r="P7" i="2"/>
  <c r="Q2" i="2"/>
  <c r="R2" i="2" s="1"/>
  <c r="S2" i="2" s="1"/>
  <c r="T2" i="2" s="1"/>
  <c r="U2" i="2" s="1"/>
  <c r="V2" i="2" s="1"/>
  <c r="P2" i="2"/>
  <c r="F33" i="2"/>
  <c r="F32" i="2"/>
  <c r="D33" i="2"/>
  <c r="E33" i="2" s="1"/>
  <c r="D32" i="2"/>
  <c r="D34" i="2" s="1"/>
  <c r="F14" i="2"/>
  <c r="E14" i="2"/>
  <c r="E15" i="2" s="1"/>
  <c r="E19" i="2" s="1"/>
  <c r="E21" i="2" s="1"/>
  <c r="D14" i="2"/>
  <c r="F9" i="2"/>
  <c r="E9" i="2"/>
  <c r="D9" i="2"/>
  <c r="N27" i="2"/>
  <c r="O26" i="2"/>
  <c r="N26" i="2"/>
  <c r="O25" i="2"/>
  <c r="N25" i="2"/>
  <c r="O27" i="2"/>
  <c r="G27" i="2"/>
  <c r="G26" i="2"/>
  <c r="G25" i="2"/>
  <c r="L4" i="1" a="1"/>
  <c r="L4" i="1" s="1"/>
  <c r="L6" i="1" s="1"/>
  <c r="L9" i="1" s="1"/>
  <c r="L11" i="1" s="1"/>
  <c r="M34" i="2"/>
  <c r="O34" i="2"/>
  <c r="N34" i="2"/>
  <c r="N28" i="2"/>
  <c r="O28" i="2"/>
  <c r="N14" i="2"/>
  <c r="M14" i="2"/>
  <c r="O14" i="2"/>
  <c r="N9" i="2"/>
  <c r="N29" i="2" s="1"/>
  <c r="M9" i="2"/>
  <c r="M29" i="2" s="1"/>
  <c r="O9" i="2"/>
  <c r="O29" i="2" s="1"/>
  <c r="C34" i="2"/>
  <c r="G34" i="2"/>
  <c r="G28" i="2"/>
  <c r="C14" i="2"/>
  <c r="G14" i="2"/>
  <c r="C9" i="2"/>
  <c r="G9" i="2"/>
  <c r="G29" i="2" s="1"/>
  <c r="L8" i="1"/>
  <c r="Y8" i="2" l="1"/>
  <c r="Q8" i="2"/>
  <c r="Q9" i="2" s="1"/>
  <c r="Q29" i="2" s="1"/>
  <c r="F15" i="2"/>
  <c r="F19" i="2" s="1"/>
  <c r="F21" i="2" s="1"/>
  <c r="F23" i="2" s="1"/>
  <c r="Q28" i="2"/>
  <c r="Q14" i="2"/>
  <c r="R14" i="2"/>
  <c r="S14" i="2"/>
  <c r="P9" i="2"/>
  <c r="F34" i="2"/>
  <c r="E32" i="2"/>
  <c r="E34" i="2" s="1"/>
  <c r="F35" i="2" s="1"/>
  <c r="D15" i="2"/>
  <c r="D19" i="2" s="1"/>
  <c r="D21" i="2" s="1"/>
  <c r="D23" i="2" s="1"/>
  <c r="E23" i="2"/>
  <c r="O15" i="2"/>
  <c r="O19" i="2" s="1"/>
  <c r="O21" i="2" s="1"/>
  <c r="O23" i="2" s="1"/>
  <c r="M15" i="2"/>
  <c r="N15" i="2"/>
  <c r="G15" i="2"/>
  <c r="G19" i="2" s="1"/>
  <c r="G21" i="2" s="1"/>
  <c r="G23" i="2" s="1"/>
  <c r="C15" i="2"/>
  <c r="C29" i="2"/>
  <c r="Q15" i="2" l="1"/>
  <c r="Q19" i="2" s="1"/>
  <c r="R28" i="2"/>
  <c r="S7" i="2"/>
  <c r="R8" i="2"/>
  <c r="R9" i="2" s="1"/>
  <c r="R29" i="2" s="1"/>
  <c r="T14" i="2"/>
  <c r="P15" i="2"/>
  <c r="P19" i="2" s="1"/>
  <c r="P21" i="2" s="1"/>
  <c r="P23" i="2" s="1"/>
  <c r="P29" i="2"/>
  <c r="G35" i="2"/>
  <c r="O30" i="2"/>
  <c r="G30" i="2"/>
  <c r="N19" i="2"/>
  <c r="N21" i="2" s="1"/>
  <c r="N23" i="2" s="1"/>
  <c r="N30" i="2"/>
  <c r="M19" i="2"/>
  <c r="M21" i="2" s="1"/>
  <c r="M23" i="2" s="1"/>
  <c r="M30" i="2"/>
  <c r="C19" i="2"/>
  <c r="C21" i="2" s="1"/>
  <c r="C23" i="2" s="1"/>
  <c r="C30" i="2"/>
  <c r="Q30" i="2" l="1"/>
  <c r="S8" i="2"/>
  <c r="S9" i="2" s="1"/>
  <c r="T7" i="2"/>
  <c r="S28" i="2"/>
  <c r="Q20" i="2"/>
  <c r="Q21" i="2" s="1"/>
  <c r="R15" i="2"/>
  <c r="V14" i="2"/>
  <c r="U14" i="2"/>
  <c r="Q23" i="2" l="1"/>
  <c r="S15" i="2"/>
  <c r="S29" i="2"/>
  <c r="U7" i="2"/>
  <c r="T28" i="2"/>
  <c r="T8" i="2"/>
  <c r="T9" i="2" s="1"/>
  <c r="R19" i="2"/>
  <c r="R20" i="2" s="1"/>
  <c r="R21" i="2" s="1"/>
  <c r="R23" i="2" s="1"/>
  <c r="R30" i="2"/>
  <c r="T29" i="2" l="1"/>
  <c r="T15" i="2"/>
  <c r="V7" i="2"/>
  <c r="U28" i="2"/>
  <c r="U8" i="2"/>
  <c r="U9" i="2" s="1"/>
  <c r="S19" i="2"/>
  <c r="S20" i="2" s="1"/>
  <c r="S21" i="2" s="1"/>
  <c r="S30" i="2"/>
  <c r="U29" i="2" l="1"/>
  <c r="U15" i="2"/>
  <c r="T30" i="2"/>
  <c r="T19" i="2"/>
  <c r="T20" i="2" s="1"/>
  <c r="T21" i="2" s="1"/>
  <c r="T23" i="2" s="1"/>
  <c r="S23" i="2"/>
  <c r="V28" i="2"/>
  <c r="V8" i="2"/>
  <c r="V9" i="2" s="1"/>
  <c r="V29" i="2" l="1"/>
  <c r="V15" i="2"/>
  <c r="U19" i="2"/>
  <c r="U20" i="2" s="1"/>
  <c r="U21" i="2" s="1"/>
  <c r="U30" i="2"/>
  <c r="U23" i="2" l="1"/>
  <c r="V30" i="2"/>
  <c r="V19" i="2"/>
  <c r="V20" i="2" s="1"/>
  <c r="V21" i="2" s="1"/>
  <c r="V23" i="2" l="1"/>
  <c r="W21" i="2"/>
  <c r="X21" i="2" s="1"/>
  <c r="Y21" i="2" s="1"/>
  <c r="Z21" i="2" s="1"/>
  <c r="AA21" i="2" s="1"/>
  <c r="AB21" i="2" s="1"/>
  <c r="AC21" i="2" s="1"/>
  <c r="AD21" i="2" s="1"/>
  <c r="AE21" i="2" s="1"/>
  <c r="AF21" i="2" s="1"/>
  <c r="AG21" i="2" s="1"/>
  <c r="AH21" i="2" s="1"/>
  <c r="AI21" i="2" s="1"/>
  <c r="AJ21" i="2" s="1"/>
  <c r="AK21" i="2" s="1"/>
  <c r="AL21" i="2" s="1"/>
  <c r="AM21" i="2" s="1"/>
  <c r="AN21" i="2" s="1"/>
  <c r="AO21" i="2" s="1"/>
  <c r="AP21" i="2" s="1"/>
  <c r="AQ21" i="2" s="1"/>
  <c r="AR21" i="2" s="1"/>
  <c r="AS21" i="2" s="1"/>
  <c r="AT21" i="2" s="1"/>
  <c r="AU21" i="2" s="1"/>
  <c r="AV21" i="2" s="1"/>
  <c r="AW21" i="2" s="1"/>
  <c r="AX21" i="2" s="1"/>
  <c r="AY21" i="2" s="1"/>
  <c r="AZ21" i="2" s="1"/>
  <c r="BA21" i="2" s="1"/>
  <c r="BB21" i="2" s="1"/>
  <c r="BC21" i="2" s="1"/>
  <c r="BD21" i="2" s="1"/>
  <c r="BE21" i="2" s="1"/>
  <c r="BF21" i="2" s="1"/>
  <c r="BG21" i="2" s="1"/>
  <c r="BH21" i="2" s="1"/>
  <c r="BI21" i="2" s="1"/>
  <c r="BJ21" i="2" s="1"/>
  <c r="BK21" i="2" s="1"/>
  <c r="BL21" i="2" s="1"/>
  <c r="BM21" i="2" s="1"/>
  <c r="BN21" i="2" s="1"/>
  <c r="BO21" i="2" s="1"/>
  <c r="BP21" i="2" s="1"/>
  <c r="BQ21" i="2" s="1"/>
  <c r="BR21" i="2" s="1"/>
  <c r="BS21" i="2" s="1"/>
  <c r="BT21" i="2" s="1"/>
  <c r="BU21" i="2" s="1"/>
  <c r="Y6" i="2" l="1"/>
  <c r="Y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<sst xmlns="http://schemas.openxmlformats.org/spreadsheetml/2006/main" count="51" uniqueCount="46">
  <si>
    <t>Ticket</t>
  </si>
  <si>
    <t>Price</t>
  </si>
  <si>
    <t>Shares</t>
  </si>
  <si>
    <t>Cash</t>
  </si>
  <si>
    <t>Debt</t>
  </si>
  <si>
    <t>EV</t>
  </si>
  <si>
    <t>MC</t>
  </si>
  <si>
    <t>Q1 2023</t>
  </si>
  <si>
    <t>Q2 2023</t>
  </si>
  <si>
    <t>Q3 2023</t>
  </si>
  <si>
    <t>Q4 2023</t>
  </si>
  <si>
    <t>Q1 2024</t>
  </si>
  <si>
    <t>Q2 2024</t>
  </si>
  <si>
    <t>Q3 2024</t>
  </si>
  <si>
    <t>Q4 2024</t>
  </si>
  <si>
    <t>Revenue</t>
  </si>
  <si>
    <t>COGS</t>
  </si>
  <si>
    <t>Gross Profit</t>
  </si>
  <si>
    <t>S,G&amp;A</t>
  </si>
  <si>
    <t>D&amp;A</t>
  </si>
  <si>
    <t>Total Opex</t>
  </si>
  <si>
    <t>Operating Income</t>
  </si>
  <si>
    <t>Restructuring</t>
  </si>
  <si>
    <t>Net Interest</t>
  </si>
  <si>
    <t>FX</t>
  </si>
  <si>
    <t>Other expenses</t>
  </si>
  <si>
    <t>Pretax Income</t>
  </si>
  <si>
    <t>Taxes</t>
  </si>
  <si>
    <t>Net Income</t>
  </si>
  <si>
    <t>EPS</t>
  </si>
  <si>
    <t>Revenue y/y</t>
  </si>
  <si>
    <t>Gross Margin</t>
  </si>
  <si>
    <t>Operating Margin</t>
  </si>
  <si>
    <t>CFFO</t>
  </si>
  <si>
    <t>CAPEX</t>
  </si>
  <si>
    <t>FCF</t>
  </si>
  <si>
    <t>Impairments of assets</t>
  </si>
  <si>
    <t>EV/FCF</t>
  </si>
  <si>
    <t>Versace</t>
  </si>
  <si>
    <t>Jimmy Choo</t>
  </si>
  <si>
    <t>Michael Kors</t>
  </si>
  <si>
    <t>TTM</t>
  </si>
  <si>
    <t>Discount</t>
  </si>
  <si>
    <t>Maturity</t>
  </si>
  <si>
    <t>ROIC</t>
  </si>
  <si>
    <t>NPV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</si>
</sst>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 ;_-[$$-409]* \-#,##0.00\ ;_-[$$-409]* &quot;-&quot;??_ ;_-@_ "/>
    <numFmt numFmtId="165" formatCode="_([$$-409]* #,##0.00_);_([$$-409]* \(#,##0.00\);_([$$-409]* &quot;-&quot;??_);_(@_)"/>
    <numFmt numFmtId="166" formatCode="0.0\x"/>
    <numFmt numFmtId="167" formatCode="#,##0_ ;[Red]\-#,##0\ "/>
    <numFmt numFmtId="170" formatCode="[$$-409]#,##0.00"/>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3" fontId="1" fillId="0" borderId="0" xfId="0" applyNumberFormat="1" applyFont="1"/>
    <xf numFmtId="164" fontId="1" fillId="0" borderId="0" xfId="0" applyNumberFormat="1" applyFont="1"/>
    <xf numFmtId="9" fontId="1" fillId="0" borderId="0" xfId="0" applyNumberFormat="1" applyFont="1"/>
    <xf numFmtId="165" fontId="1" fillId="0" borderId="0" xfId="0" applyNumberFormat="1" applyFont="1"/>
    <xf numFmtId="166" fontId="1" fillId="0" borderId="0" xfId="0" applyNumberFormat="1" applyFont="1"/>
    <xf numFmtId="9" fontId="2" fillId="0" borderId="0" xfId="0" applyNumberFormat="1" applyFont="1"/>
    <xf numFmtId="3" fontId="2" fillId="0" borderId="0" xfId="0" applyNumberFormat="1" applyFont="1"/>
    <xf numFmtId="167" fontId="1" fillId="0" borderId="0" xfId="0" applyNumberFormat="1" applyFont="1"/>
    <xf numFmtId="17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14</xdr:col>
      <xdr:colOff>590550</xdr:colOff>
      <xdr:row>0</xdr:row>
      <xdr:rowOff>28575</xdr:rowOff>
    </xdr:from>
    <xdr:to>
      <xdr:col>14</xdr:col>
      <xdr:colOff>590550</xdr:colOff>
      <xdr:row>45</xdr:row>
      <xdr:rowOff>57150</xdr:rowOff>
    </xdr:to>
    <xdr:cxnSp macro="">
      <xdr:nvCxnSpPr>
        <xdr:cNvPr id="3" name="Straight Connector 2">
          <a:extLst>
            <a:ext uri="{FF2B5EF4-FFF2-40B4-BE49-F238E27FC236}">
              <a16:creationId xmlns:a16="http://schemas.microsoft.com/office/drawing/2014/main" id="{B1F6B25C-533D-4937-BFCC-DC9642B5020D}"/>
            </a:ext>
          </a:extLst>
        </xdr:cNvPr>
        <xdr:cNvCxnSpPr/>
      </xdr:nvCxnSpPr>
      <xdr:spPr>
        <a:xfrm>
          <a:off x="9686925" y="28575"/>
          <a:ext cx="0" cy="73152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https://www.bing.com/financeapi/forcetrigger?t=a1wmfr&amp;q=XNYS%3aCPRI&amp;form=skydnc</v>
    <v>Learn more on Bing</v>
  </rv>
  <rv s="1">
    <v>en-GB</v>
    <v>a1wmfr</v>
    <v>268435456</v>
    <v>1</v>
    <v>Powered by Refinitiv</v>
    <v>0</v>
    <v>Capri Holdings Limited (XNYS:CPRI)</v>
    <v>2</v>
    <v>3</v>
    <v>Finance</v>
    <v>4</v>
    <v>51.73</v>
    <v>20.99</v>
    <v>1.9790000000000001</v>
    <v>-20.34</v>
    <v>2.3519999999999999E-3</v>
    <v>-0.48894199999999999</v>
    <v>0.05</v>
    <v>USD</v>
    <v>Capri Holdings Limited is a holding company, which owns brands that are designers, marketers, distributors and retailers of women’s and men’s accessories, footwear and ready-to-wear bearing the Versace, Jimmy Choo and Michael Kors tradenames and related trademarks and logos. The Company operates in three segments: Versace, Jimmy Choo and Michael Kors. Versace segment include sale of Versace luxury ready-to-wear, accessories and footwear through directly operated Versace boutiques throughout the Americas, certain parts of Europe, Middle East and Africa (EMEA) and certain parts of Asia, as well as through Versace outlet stores and e-commerce sites. Jimmy Choo segment includes Jimmy Choo luxury footwear, handbags and small leather goods and accessories. Michael Kors segment includes the sale of Michael Kors products through four Michael Kors retail store formats: Collection stores, Lifestyle stores (including concessions), outlet stores and e-commerce sites.</v>
    <v>10200</v>
    <v>New York Stock Exchange</v>
    <v>XNYS</v>
    <v>XNYS</v>
    <v>90 Whitfield Street, 2Nd Floor, LONDON, W1T 4EZ GB</v>
    <v>23.25</v>
    <v>Specialty Retailers</v>
    <v>Stock</v>
    <v>45590.958049733592</v>
    <v>0</v>
    <v>20.99</v>
    <v>2504198392</v>
    <v>Capri Holdings Limited</v>
    <v>Capri Holdings Limited</v>
    <v>22.3401</v>
    <v>41.6</v>
    <v>21.26</v>
    <v>21.31</v>
    <v>117789200</v>
    <v>CPRI</v>
    <v>Capri Holdings Limited (XNYS:CPRI)</v>
    <v>52073018</v>
    <v>2109894</v>
    <v>2002</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CBAB3-EBC0-4AA3-90B6-BA0E18AA2FFB}">
  <dimension ref="K3:L11"/>
  <sheetViews>
    <sheetView workbookViewId="0">
      <selection activeCell="F10" sqref="F10"/>
    </sheetView>
  </sheetViews>
  <sheetFormatPr defaultRowHeight="12.75" x14ac:dyDescent="0.2"/>
  <cols>
    <col min="1" max="16384" width="9.140625" style="1"/>
  </cols>
  <sheetData>
    <row r="3" spans="11:12" x14ac:dyDescent="0.2">
      <c r="K3" s="2" t="s">
        <v>0</v>
      </c>
      <c r="L3" s="1" t="e" vm="1">
        <v>#VALUE!</v>
      </c>
    </row>
    <row r="4" spans="11:12" x14ac:dyDescent="0.2">
      <c r="K4" s="2" t="s">
        <v>1</v>
      </c>
      <c r="L4" s="6" cm="1">
        <f t="array" aca="1" ref="L4" ca="1">+_FV(L3,"Price")</f>
        <v>21.26</v>
      </c>
    </row>
    <row r="5" spans="11:12" x14ac:dyDescent="0.2">
      <c r="K5" s="2" t="s">
        <v>2</v>
      </c>
      <c r="L5" s="1">
        <v>117.789174</v>
      </c>
    </row>
    <row r="6" spans="11:12" x14ac:dyDescent="0.2">
      <c r="K6" s="2" t="s">
        <v>6</v>
      </c>
      <c r="L6" s="3">
        <f ca="1">+L4*L5</f>
        <v>2504.1978392400001</v>
      </c>
    </row>
    <row r="7" spans="11:12" x14ac:dyDescent="0.2">
      <c r="K7" s="2" t="s">
        <v>3</v>
      </c>
      <c r="L7" s="3">
        <v>213</v>
      </c>
    </row>
    <row r="8" spans="11:12" x14ac:dyDescent="0.2">
      <c r="K8" s="2" t="s">
        <v>4</v>
      </c>
      <c r="L8" s="3">
        <f>461+1252</f>
        <v>1713</v>
      </c>
    </row>
    <row r="9" spans="11:12" x14ac:dyDescent="0.2">
      <c r="K9" s="2" t="s">
        <v>5</v>
      </c>
      <c r="L9" s="3">
        <f ca="1">+L6-L7+L8</f>
        <v>4004.1978392400001</v>
      </c>
    </row>
    <row r="11" spans="11:12" x14ac:dyDescent="0.2">
      <c r="K11" s="2" t="s">
        <v>37</v>
      </c>
      <c r="L11" s="7">
        <f ca="1">+L9/170</f>
        <v>23.554104936705883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9E068-B1C7-4B92-864D-6064C807D05E}">
  <dimension ref="B2:BU35"/>
  <sheetViews>
    <sheetView tabSelected="1" workbookViewId="0">
      <pane xSplit="2" ySplit="2" topLeftCell="O3" activePane="bottomRight" state="frozen"/>
      <selection pane="topRight" activeCell="C1" sqref="C1"/>
      <selection pane="bottomLeft" activeCell="A3" sqref="A3"/>
      <selection pane="bottomRight" activeCell="Y8" sqref="Y8"/>
    </sheetView>
  </sheetViews>
  <sheetFormatPr defaultRowHeight="12.75" x14ac:dyDescent="0.2"/>
  <cols>
    <col min="1" max="1" width="9.140625" style="1"/>
    <col min="2" max="2" width="17.5703125" style="1" bestFit="1" customWidth="1"/>
    <col min="3" max="24" width="9.140625" style="1"/>
    <col min="25" max="25" width="9.7109375" style="1" bestFit="1" customWidth="1"/>
    <col min="26" max="16384" width="9.140625" style="1"/>
  </cols>
  <sheetData>
    <row r="2" spans="2:25" x14ac:dyDescent="0.2">
      <c r="C2" s="2" t="s">
        <v>7</v>
      </c>
      <c r="D2" s="2" t="s">
        <v>8</v>
      </c>
      <c r="E2" s="2" t="s">
        <v>9</v>
      </c>
      <c r="F2" s="2" t="s">
        <v>10</v>
      </c>
      <c r="G2" s="2" t="s">
        <v>11</v>
      </c>
      <c r="H2" s="2" t="s">
        <v>12</v>
      </c>
      <c r="I2" s="2" t="s">
        <v>13</v>
      </c>
      <c r="J2" s="2" t="s">
        <v>14</v>
      </c>
      <c r="M2" s="2">
        <v>2022</v>
      </c>
      <c r="N2" s="2">
        <v>2023</v>
      </c>
      <c r="O2" s="2">
        <v>2024</v>
      </c>
      <c r="P2" s="2">
        <f>+O2+1</f>
        <v>2025</v>
      </c>
      <c r="Q2" s="2">
        <f t="shared" ref="Q2:V2" si="0">+P2+1</f>
        <v>2026</v>
      </c>
      <c r="R2" s="2">
        <f t="shared" si="0"/>
        <v>2027</v>
      </c>
      <c r="S2" s="2">
        <f t="shared" si="0"/>
        <v>2028</v>
      </c>
      <c r="T2" s="2">
        <f t="shared" si="0"/>
        <v>2029</v>
      </c>
      <c r="U2" s="2">
        <f t="shared" si="0"/>
        <v>2030</v>
      </c>
      <c r="V2" s="2">
        <f t="shared" si="0"/>
        <v>2031</v>
      </c>
    </row>
    <row r="3" spans="2:25" x14ac:dyDescent="0.2">
      <c r="B3" s="1" t="s">
        <v>38</v>
      </c>
      <c r="C3" s="1">
        <v>259</v>
      </c>
      <c r="E3" s="1">
        <v>227</v>
      </c>
      <c r="G3" s="1">
        <v>219</v>
      </c>
      <c r="M3" s="3">
        <v>1088</v>
      </c>
      <c r="N3" s="3">
        <v>1106</v>
      </c>
      <c r="O3" s="3">
        <v>1030</v>
      </c>
      <c r="X3" s="1" t="s">
        <v>42</v>
      </c>
      <c r="Y3" s="5">
        <v>0.09</v>
      </c>
    </row>
    <row r="4" spans="2:25" x14ac:dyDescent="0.2">
      <c r="B4" s="1" t="s">
        <v>39</v>
      </c>
      <c r="C4" s="1">
        <v>183</v>
      </c>
      <c r="E4" s="1">
        <v>166</v>
      </c>
      <c r="G4" s="1">
        <v>173</v>
      </c>
      <c r="M4" s="3">
        <v>613</v>
      </c>
      <c r="N4" s="3">
        <v>633</v>
      </c>
      <c r="O4" s="3">
        <v>618</v>
      </c>
      <c r="X4" s="1" t="s">
        <v>43</v>
      </c>
      <c r="Y4" s="5">
        <v>0.01</v>
      </c>
    </row>
    <row r="5" spans="2:25" x14ac:dyDescent="0.2">
      <c r="B5" s="1" t="s">
        <v>40</v>
      </c>
      <c r="C5" s="1">
        <v>787</v>
      </c>
      <c r="E5" s="1">
        <v>1034</v>
      </c>
      <c r="G5" s="1">
        <v>675</v>
      </c>
      <c r="M5" s="3">
        <v>3953</v>
      </c>
      <c r="N5" s="3">
        <v>3880</v>
      </c>
      <c r="O5" s="3">
        <v>3522</v>
      </c>
      <c r="X5" s="1" t="s">
        <v>44</v>
      </c>
    </row>
    <row r="6" spans="2:25" x14ac:dyDescent="0.2">
      <c r="C6" s="2"/>
      <c r="D6" s="2"/>
      <c r="E6" s="2"/>
      <c r="F6" s="2"/>
      <c r="G6" s="2"/>
      <c r="H6" s="2"/>
      <c r="I6" s="2"/>
      <c r="J6" s="2"/>
      <c r="M6" s="2"/>
      <c r="N6" s="2"/>
      <c r="O6" s="2"/>
      <c r="X6" s="1" t="s">
        <v>45</v>
      </c>
      <c r="Y6" s="10">
        <f>+NPV(Y3,P21:BU21)</f>
        <v>3993.8488650506515</v>
      </c>
    </row>
    <row r="7" spans="2:25" x14ac:dyDescent="0.2">
      <c r="B7" s="2" t="s">
        <v>15</v>
      </c>
      <c r="C7" s="2">
        <v>1229</v>
      </c>
      <c r="D7" s="2">
        <v>1291</v>
      </c>
      <c r="E7" s="2">
        <v>1427</v>
      </c>
      <c r="F7" s="2"/>
      <c r="G7" s="2">
        <v>1067</v>
      </c>
      <c r="H7" s="2"/>
      <c r="I7" s="2"/>
      <c r="J7" s="2"/>
      <c r="K7" s="2"/>
      <c r="L7" s="2"/>
      <c r="M7" s="9">
        <v>5654</v>
      </c>
      <c r="N7" s="9">
        <v>5619</v>
      </c>
      <c r="O7" s="9">
        <v>5170</v>
      </c>
      <c r="P7" s="9">
        <f>+O7*0.9</f>
        <v>4653</v>
      </c>
      <c r="Q7" s="9">
        <f>+P7*0.98</f>
        <v>4559.9399999999996</v>
      </c>
      <c r="R7" s="9">
        <f t="shared" ref="R7:S7" si="1">+Q7*1.07</f>
        <v>4879.1358</v>
      </c>
      <c r="S7" s="9">
        <f>+R7*1.07</f>
        <v>5220.6753060000001</v>
      </c>
      <c r="T7" s="9">
        <f t="shared" ref="T7" si="2">+S7*1.07</f>
        <v>5586.1225774200002</v>
      </c>
      <c r="U7" s="9">
        <f t="shared" ref="S7:V7" si="3">+T7*1.05</f>
        <v>5865.4287062910007</v>
      </c>
      <c r="V7" s="9">
        <f t="shared" si="3"/>
        <v>6158.7001416055509</v>
      </c>
      <c r="X7" s="1" t="s">
        <v>1</v>
      </c>
      <c r="Y7" s="11">
        <f>+Y6/O22</f>
        <v>34.131253780949834</v>
      </c>
    </row>
    <row r="8" spans="2:25" x14ac:dyDescent="0.2">
      <c r="B8" s="1" t="s">
        <v>16</v>
      </c>
      <c r="C8" s="1">
        <v>417</v>
      </c>
      <c r="D8" s="1">
        <v>459</v>
      </c>
      <c r="E8" s="1">
        <v>499</v>
      </c>
      <c r="G8" s="1">
        <v>378</v>
      </c>
      <c r="M8" s="3">
        <v>1910</v>
      </c>
      <c r="N8" s="3">
        <v>1895</v>
      </c>
      <c r="O8" s="3">
        <v>1831</v>
      </c>
      <c r="P8" s="3">
        <f>+P7*0.35</f>
        <v>1628.55</v>
      </c>
      <c r="Q8" s="3">
        <f t="shared" ref="Q8:V8" si="4">+Q7*0.35</f>
        <v>1595.9789999999998</v>
      </c>
      <c r="R8" s="3">
        <f t="shared" si="4"/>
        <v>1707.6975299999999</v>
      </c>
      <c r="S8" s="3">
        <f t="shared" si="4"/>
        <v>1827.2363570999999</v>
      </c>
      <c r="T8" s="3">
        <f t="shared" si="4"/>
        <v>1955.1429020969999</v>
      </c>
      <c r="U8" s="3">
        <f t="shared" si="4"/>
        <v>2052.9000472018502</v>
      </c>
      <c r="V8" s="3">
        <f t="shared" si="4"/>
        <v>2155.5450495619425</v>
      </c>
      <c r="Y8" s="5">
        <f ca="1">+Y7/main!L4-1</f>
        <v>0.60542115620648307</v>
      </c>
    </row>
    <row r="9" spans="2:25" x14ac:dyDescent="0.2">
      <c r="B9" s="1" t="s">
        <v>17</v>
      </c>
      <c r="C9" s="1">
        <f>+C7-C8</f>
        <v>812</v>
      </c>
      <c r="D9" s="1">
        <f t="shared" ref="D9:F9" si="5">+D7-D8</f>
        <v>832</v>
      </c>
      <c r="E9" s="1">
        <f t="shared" si="5"/>
        <v>928</v>
      </c>
      <c r="F9" s="1">
        <f t="shared" si="5"/>
        <v>0</v>
      </c>
      <c r="G9" s="1">
        <f>+G7-G8</f>
        <v>689</v>
      </c>
      <c r="M9" s="3">
        <f t="shared" ref="M9:N9" si="6">+M7-M8</f>
        <v>3744</v>
      </c>
      <c r="N9" s="3">
        <f t="shared" si="6"/>
        <v>3724</v>
      </c>
      <c r="O9" s="3">
        <f>+O7-O8</f>
        <v>3339</v>
      </c>
      <c r="P9" s="3">
        <f t="shared" ref="P9:V9" si="7">+P7-P8</f>
        <v>3024.45</v>
      </c>
      <c r="Q9" s="3">
        <f t="shared" si="7"/>
        <v>2963.9609999999998</v>
      </c>
      <c r="R9" s="3">
        <f t="shared" si="7"/>
        <v>3171.4382700000001</v>
      </c>
      <c r="S9" s="3">
        <f t="shared" si="7"/>
        <v>3393.4389489000005</v>
      </c>
      <c r="T9" s="3">
        <f t="shared" si="7"/>
        <v>3630.9796753230003</v>
      </c>
      <c r="U9" s="3">
        <f t="shared" si="7"/>
        <v>3812.5286590891506</v>
      </c>
      <c r="V9" s="3">
        <f t="shared" si="7"/>
        <v>4003.1550920436084</v>
      </c>
    </row>
    <row r="10" spans="2:25" x14ac:dyDescent="0.2">
      <c r="B10" s="1" t="s">
        <v>18</v>
      </c>
      <c r="C10" s="1">
        <v>689</v>
      </c>
      <c r="D10" s="1">
        <v>664</v>
      </c>
      <c r="E10" s="1">
        <v>749</v>
      </c>
      <c r="G10" s="1">
        <v>649</v>
      </c>
      <c r="M10" s="3">
        <v>2533</v>
      </c>
      <c r="N10" s="3">
        <v>2708</v>
      </c>
      <c r="O10" s="3">
        <v>2784</v>
      </c>
      <c r="P10" s="3">
        <v>2784</v>
      </c>
      <c r="Q10" s="3">
        <f>+P10*1.02</f>
        <v>2839.68</v>
      </c>
      <c r="R10" s="3">
        <f t="shared" ref="R10:V10" si="8">+Q10*1.02</f>
        <v>2896.4735999999998</v>
      </c>
      <c r="S10" s="3">
        <f t="shared" si="8"/>
        <v>2954.4030720000001</v>
      </c>
      <c r="T10" s="3">
        <f t="shared" si="8"/>
        <v>3013.4911334400003</v>
      </c>
      <c r="U10" s="3">
        <f t="shared" si="8"/>
        <v>3073.7609561088002</v>
      </c>
      <c r="V10" s="3">
        <f t="shared" si="8"/>
        <v>3135.2361752309762</v>
      </c>
    </row>
    <row r="11" spans="2:25" x14ac:dyDescent="0.2">
      <c r="B11" s="1" t="s">
        <v>19</v>
      </c>
      <c r="C11" s="1">
        <v>45</v>
      </c>
      <c r="D11" s="1">
        <v>48</v>
      </c>
      <c r="E11" s="1">
        <v>46</v>
      </c>
      <c r="G11" s="1">
        <v>47</v>
      </c>
      <c r="M11" s="3">
        <v>193</v>
      </c>
      <c r="N11" s="3">
        <v>179</v>
      </c>
      <c r="O11" s="3">
        <v>188</v>
      </c>
      <c r="P11" s="3">
        <f>+O11*1.025</f>
        <v>192.7</v>
      </c>
      <c r="Q11" s="3">
        <f t="shared" ref="Q11:V11" si="9">+P11*1.025</f>
        <v>197.51749999999998</v>
      </c>
      <c r="R11" s="3">
        <f t="shared" si="9"/>
        <v>202.45543749999996</v>
      </c>
      <c r="S11" s="3">
        <f t="shared" si="9"/>
        <v>207.51682343749994</v>
      </c>
      <c r="T11" s="3">
        <f t="shared" si="9"/>
        <v>212.70474402343743</v>
      </c>
      <c r="U11" s="3">
        <f t="shared" si="9"/>
        <v>218.02236262402334</v>
      </c>
      <c r="V11" s="3">
        <f t="shared" si="9"/>
        <v>223.47292168962392</v>
      </c>
    </row>
    <row r="12" spans="2:25" x14ac:dyDescent="0.2">
      <c r="B12" s="1" t="s">
        <v>36</v>
      </c>
      <c r="D12" s="1">
        <v>20</v>
      </c>
      <c r="E12" s="1">
        <v>6</v>
      </c>
      <c r="M12" s="3">
        <v>73</v>
      </c>
      <c r="N12" s="3">
        <v>142</v>
      </c>
      <c r="O12" s="3">
        <v>575</v>
      </c>
      <c r="P12" s="3"/>
      <c r="Q12" s="3"/>
      <c r="R12" s="3"/>
      <c r="S12" s="3"/>
      <c r="T12" s="3"/>
      <c r="U12" s="3"/>
      <c r="V12" s="3"/>
    </row>
    <row r="13" spans="2:25" x14ac:dyDescent="0.2">
      <c r="B13" s="1" t="s">
        <v>22</v>
      </c>
      <c r="C13" s="1">
        <v>-2</v>
      </c>
      <c r="E13" s="1">
        <v>5</v>
      </c>
      <c r="G13" s="1">
        <v>1</v>
      </c>
      <c r="M13" s="3">
        <v>42</v>
      </c>
      <c r="N13" s="3">
        <v>16</v>
      </c>
      <c r="O13" s="3">
        <v>33</v>
      </c>
      <c r="P13" s="3"/>
      <c r="Q13" s="3"/>
      <c r="R13" s="3"/>
      <c r="S13" s="3"/>
      <c r="T13" s="3"/>
      <c r="U13" s="3"/>
      <c r="V13" s="3"/>
    </row>
    <row r="14" spans="2:25" x14ac:dyDescent="0.2">
      <c r="B14" s="1" t="s">
        <v>20</v>
      </c>
      <c r="C14" s="1">
        <f>+C10+C11+C13</f>
        <v>732</v>
      </c>
      <c r="D14" s="1">
        <f t="shared" ref="D14:F14" si="10">+D10+D11+D13</f>
        <v>712</v>
      </c>
      <c r="E14" s="1">
        <f t="shared" si="10"/>
        <v>800</v>
      </c>
      <c r="F14" s="1">
        <f t="shared" si="10"/>
        <v>0</v>
      </c>
      <c r="G14" s="1">
        <f>+G10+G11+G13</f>
        <v>697</v>
      </c>
      <c r="M14" s="3">
        <f t="shared" ref="M14:N14" si="11">+SUM(M10:M13)</f>
        <v>2841</v>
      </c>
      <c r="N14" s="3">
        <f t="shared" si="11"/>
        <v>3045</v>
      </c>
      <c r="O14" s="3">
        <f>+SUM(O10:O13)</f>
        <v>3580</v>
      </c>
      <c r="P14" s="3">
        <f>+SUM(P10:P13)</f>
        <v>2976.7</v>
      </c>
      <c r="Q14" s="3">
        <f t="shared" ref="P14:V14" si="12">+SUM(Q10:Q13)</f>
        <v>3037.1974999999998</v>
      </c>
      <c r="R14" s="3">
        <f t="shared" si="12"/>
        <v>3098.9290374999996</v>
      </c>
      <c r="S14" s="3">
        <f t="shared" si="12"/>
        <v>3161.9198954375001</v>
      </c>
      <c r="T14" s="3">
        <f t="shared" si="12"/>
        <v>3226.1958774634377</v>
      </c>
      <c r="U14" s="3">
        <f t="shared" si="12"/>
        <v>3291.7833187328233</v>
      </c>
      <c r="V14" s="3">
        <f t="shared" si="12"/>
        <v>3358.7090969206001</v>
      </c>
    </row>
    <row r="15" spans="2:25" x14ac:dyDescent="0.2">
      <c r="B15" s="2" t="s">
        <v>21</v>
      </c>
      <c r="C15" s="2">
        <f>+C9-C14</f>
        <v>80</v>
      </c>
      <c r="D15" s="2">
        <f t="shared" ref="D15:F15" si="13">+D9-D14</f>
        <v>120</v>
      </c>
      <c r="E15" s="2">
        <f t="shared" si="13"/>
        <v>128</v>
      </c>
      <c r="F15" s="2">
        <f t="shared" si="13"/>
        <v>0</v>
      </c>
      <c r="G15" s="2">
        <f>+G9-G14</f>
        <v>-8</v>
      </c>
      <c r="I15" s="2"/>
      <c r="J15" s="2"/>
      <c r="M15" s="2">
        <f t="shared" ref="M15:O15" si="14">+M9-M14</f>
        <v>903</v>
      </c>
      <c r="N15" s="2">
        <f t="shared" si="14"/>
        <v>679</v>
      </c>
      <c r="O15" s="2">
        <f t="shared" si="14"/>
        <v>-241</v>
      </c>
      <c r="P15" s="9">
        <f t="shared" ref="P15:V15" si="15">+P9-P14</f>
        <v>47.75</v>
      </c>
      <c r="Q15" s="9">
        <f t="shared" si="15"/>
        <v>-73.236499999999978</v>
      </c>
      <c r="R15" s="9">
        <f t="shared" si="15"/>
        <v>72.509232500000508</v>
      </c>
      <c r="S15" s="9">
        <f t="shared" si="15"/>
        <v>231.51905346250032</v>
      </c>
      <c r="T15" s="9">
        <f t="shared" si="15"/>
        <v>404.78379785956258</v>
      </c>
      <c r="U15" s="9">
        <f t="shared" si="15"/>
        <v>520.74534035632723</v>
      </c>
      <c r="V15" s="9">
        <f t="shared" si="15"/>
        <v>644.44599512300829</v>
      </c>
    </row>
    <row r="16" spans="2:25" x14ac:dyDescent="0.2">
      <c r="B16" s="1" t="s">
        <v>25</v>
      </c>
      <c r="C16" s="1">
        <v>1</v>
      </c>
      <c r="D16" s="1">
        <v>-1</v>
      </c>
      <c r="M16" s="3">
        <v>-2</v>
      </c>
      <c r="N16" s="3">
        <v>-3</v>
      </c>
      <c r="O16" s="3">
        <v>-1</v>
      </c>
      <c r="P16" s="3">
        <v>-1</v>
      </c>
      <c r="Q16" s="3">
        <v>-1</v>
      </c>
      <c r="R16" s="3">
        <v>-1</v>
      </c>
      <c r="S16" s="3">
        <v>-1</v>
      </c>
      <c r="T16" s="3">
        <v>-1</v>
      </c>
      <c r="U16" s="3">
        <v>-1</v>
      </c>
      <c r="V16" s="3">
        <v>-1</v>
      </c>
    </row>
    <row r="17" spans="2:73" x14ac:dyDescent="0.2">
      <c r="B17" s="1" t="s">
        <v>23</v>
      </c>
      <c r="C17" s="1">
        <v>8</v>
      </c>
      <c r="D17" s="1">
        <v>3</v>
      </c>
      <c r="E17" s="1">
        <v>1</v>
      </c>
      <c r="G17" s="1">
        <v>-4</v>
      </c>
      <c r="M17" s="3">
        <v>-18</v>
      </c>
      <c r="N17" s="3">
        <v>24</v>
      </c>
      <c r="O17" s="3">
        <v>6</v>
      </c>
      <c r="P17" s="3">
        <v>6</v>
      </c>
      <c r="Q17" s="3">
        <v>6</v>
      </c>
      <c r="R17" s="3">
        <v>6</v>
      </c>
      <c r="S17" s="3">
        <v>6</v>
      </c>
      <c r="T17" s="3">
        <v>6</v>
      </c>
      <c r="U17" s="3">
        <v>6</v>
      </c>
      <c r="V17" s="3">
        <v>6</v>
      </c>
    </row>
    <row r="18" spans="2:73" x14ac:dyDescent="0.2">
      <c r="B18" s="1" t="s">
        <v>24</v>
      </c>
      <c r="C18" s="1">
        <v>21</v>
      </c>
      <c r="D18" s="1">
        <v>-3</v>
      </c>
      <c r="E18" s="1">
        <v>-2</v>
      </c>
      <c r="G18" s="1">
        <v>5</v>
      </c>
      <c r="M18" s="3">
        <v>8</v>
      </c>
      <c r="N18" s="3">
        <v>10</v>
      </c>
      <c r="O18" s="3">
        <v>37</v>
      </c>
      <c r="P18" s="3">
        <v>37</v>
      </c>
      <c r="Q18" s="3">
        <v>37</v>
      </c>
      <c r="R18" s="3">
        <v>37</v>
      </c>
      <c r="S18" s="3">
        <v>37</v>
      </c>
      <c r="T18" s="3">
        <v>37</v>
      </c>
      <c r="U18" s="3">
        <v>37</v>
      </c>
      <c r="V18" s="3">
        <v>37</v>
      </c>
    </row>
    <row r="19" spans="2:73" x14ac:dyDescent="0.2">
      <c r="B19" s="1" t="s">
        <v>26</v>
      </c>
      <c r="C19" s="1">
        <f>+C15-C16-C17-C18</f>
        <v>50</v>
      </c>
      <c r="D19" s="1">
        <f t="shared" ref="D19:F19" si="16">+D15-D16-D17-D18</f>
        <v>121</v>
      </c>
      <c r="E19" s="1">
        <f t="shared" si="16"/>
        <v>129</v>
      </c>
      <c r="F19" s="1">
        <f t="shared" si="16"/>
        <v>0</v>
      </c>
      <c r="G19" s="1">
        <f>+G15-G16-G17-G18</f>
        <v>-9</v>
      </c>
      <c r="M19" s="3">
        <f t="shared" ref="M19:N19" si="17">+M15-M16-M17-M18</f>
        <v>915</v>
      </c>
      <c r="N19" s="3">
        <f t="shared" si="17"/>
        <v>648</v>
      </c>
      <c r="O19" s="3">
        <f>+O15-O16-O17-O18</f>
        <v>-283</v>
      </c>
      <c r="P19" s="3">
        <f t="shared" ref="P19:V19" si="18">+P15-P16-P17-P18</f>
        <v>5.75</v>
      </c>
      <c r="Q19" s="3">
        <f t="shared" si="18"/>
        <v>-115.23649999999998</v>
      </c>
      <c r="R19" s="3">
        <f t="shared" si="18"/>
        <v>30.509232500000508</v>
      </c>
      <c r="S19" s="3">
        <f t="shared" si="18"/>
        <v>189.51905346250032</v>
      </c>
      <c r="T19" s="3">
        <f t="shared" si="18"/>
        <v>362.78379785956258</v>
      </c>
      <c r="U19" s="3">
        <f t="shared" si="18"/>
        <v>478.74534035632723</v>
      </c>
      <c r="V19" s="3">
        <f t="shared" si="18"/>
        <v>602.44599512300829</v>
      </c>
    </row>
    <row r="20" spans="2:73" x14ac:dyDescent="0.2">
      <c r="B20" s="1" t="s">
        <v>27</v>
      </c>
      <c r="D20" s="1">
        <v>11</v>
      </c>
      <c r="E20" s="1">
        <v>18</v>
      </c>
      <c r="G20" s="1">
        <v>2</v>
      </c>
      <c r="M20" s="3">
        <v>92</v>
      </c>
      <c r="N20" s="3">
        <v>29</v>
      </c>
      <c r="O20" s="3">
        <v>-54</v>
      </c>
      <c r="P20" s="3">
        <f>+P19*0.2</f>
        <v>1.1500000000000001</v>
      </c>
      <c r="Q20" s="3">
        <f t="shared" ref="Q20:V20" si="19">+Q19*0.2</f>
        <v>-23.047299999999996</v>
      </c>
      <c r="R20" s="3">
        <f t="shared" si="19"/>
        <v>6.1018465000001019</v>
      </c>
      <c r="S20" s="3">
        <f t="shared" si="19"/>
        <v>37.903810692500066</v>
      </c>
      <c r="T20" s="3">
        <f t="shared" si="19"/>
        <v>72.556759571912522</v>
      </c>
      <c r="U20" s="3">
        <f t="shared" si="19"/>
        <v>95.749068071265455</v>
      </c>
      <c r="V20" s="3">
        <f t="shared" si="19"/>
        <v>120.48919902460166</v>
      </c>
    </row>
    <row r="21" spans="2:73" x14ac:dyDescent="0.2">
      <c r="B21" s="1" t="s">
        <v>28</v>
      </c>
      <c r="C21" s="1">
        <f>+C19-C20</f>
        <v>50</v>
      </c>
      <c r="D21" s="1">
        <f t="shared" ref="D21:F21" si="20">+D19-D20</f>
        <v>110</v>
      </c>
      <c r="E21" s="1">
        <f t="shared" si="20"/>
        <v>111</v>
      </c>
      <c r="F21" s="1">
        <f t="shared" si="20"/>
        <v>0</v>
      </c>
      <c r="G21" s="1">
        <f>+G19-G20</f>
        <v>-11</v>
      </c>
      <c r="M21" s="9">
        <f t="shared" ref="M21:N21" si="21">+M19-M20</f>
        <v>823</v>
      </c>
      <c r="N21" s="9">
        <f t="shared" si="21"/>
        <v>619</v>
      </c>
      <c r="O21" s="9">
        <f>+O19-O20</f>
        <v>-229</v>
      </c>
      <c r="P21" s="9">
        <f t="shared" ref="P21:V21" si="22">+P19-P20</f>
        <v>4.5999999999999996</v>
      </c>
      <c r="Q21" s="9">
        <f t="shared" si="22"/>
        <v>-92.189199999999985</v>
      </c>
      <c r="R21" s="9">
        <f t="shared" si="22"/>
        <v>24.407386000000407</v>
      </c>
      <c r="S21" s="9">
        <f t="shared" si="22"/>
        <v>151.61524277000026</v>
      </c>
      <c r="T21" s="9">
        <f t="shared" si="22"/>
        <v>290.22703828765009</v>
      </c>
      <c r="U21" s="9">
        <f t="shared" si="22"/>
        <v>382.99627228506176</v>
      </c>
      <c r="V21" s="9">
        <f t="shared" si="22"/>
        <v>481.95679609840664</v>
      </c>
      <c r="W21" s="9">
        <f>+V21*(1+$Y$4)</f>
        <v>486.77636405939069</v>
      </c>
      <c r="X21" s="9">
        <f t="shared" ref="X21:BU21" si="23">+W21*(1+$Y$4)</f>
        <v>491.64412769998461</v>
      </c>
      <c r="Y21" s="9">
        <f t="shared" si="23"/>
        <v>496.56056897698448</v>
      </c>
      <c r="Z21" s="9">
        <f t="shared" si="23"/>
        <v>501.52617466675434</v>
      </c>
      <c r="AA21" s="9">
        <f t="shared" si="23"/>
        <v>506.54143641342188</v>
      </c>
      <c r="AB21" s="9">
        <f t="shared" si="23"/>
        <v>511.60685077755608</v>
      </c>
      <c r="AC21" s="9">
        <f t="shared" si="23"/>
        <v>516.72291928533161</v>
      </c>
      <c r="AD21" s="9">
        <f t="shared" si="23"/>
        <v>521.89014847818498</v>
      </c>
      <c r="AE21" s="9">
        <f t="shared" si="23"/>
        <v>527.10904996296688</v>
      </c>
      <c r="AF21" s="9">
        <f t="shared" si="23"/>
        <v>532.3801404625965</v>
      </c>
      <c r="AG21" s="9">
        <f t="shared" si="23"/>
        <v>537.70394186722251</v>
      </c>
      <c r="AH21" s="9">
        <f t="shared" si="23"/>
        <v>543.08098128589472</v>
      </c>
      <c r="AI21" s="9">
        <f t="shared" si="23"/>
        <v>548.51179109875363</v>
      </c>
      <c r="AJ21" s="9">
        <f t="shared" si="23"/>
        <v>553.99690900974122</v>
      </c>
      <c r="AK21" s="9">
        <f t="shared" si="23"/>
        <v>559.53687809983865</v>
      </c>
      <c r="AL21" s="9">
        <f t="shared" si="23"/>
        <v>565.13224688083699</v>
      </c>
      <c r="AM21" s="9">
        <f t="shared" si="23"/>
        <v>570.7835693496454</v>
      </c>
      <c r="AN21" s="9">
        <f t="shared" si="23"/>
        <v>576.49140504314187</v>
      </c>
      <c r="AO21" s="9">
        <f t="shared" si="23"/>
        <v>582.25631909357332</v>
      </c>
      <c r="AP21" s="9">
        <f t="shared" si="23"/>
        <v>588.07888228450906</v>
      </c>
      <c r="AQ21" s="9">
        <f t="shared" si="23"/>
        <v>593.95967110735421</v>
      </c>
      <c r="AR21" s="9">
        <f t="shared" si="23"/>
        <v>599.8992678184278</v>
      </c>
      <c r="AS21" s="9">
        <f t="shared" si="23"/>
        <v>605.89826049661212</v>
      </c>
      <c r="AT21" s="9">
        <f t="shared" si="23"/>
        <v>611.95724310157823</v>
      </c>
      <c r="AU21" s="9">
        <f t="shared" si="23"/>
        <v>618.07681553259397</v>
      </c>
      <c r="AV21" s="9">
        <f t="shared" si="23"/>
        <v>624.25758368791992</v>
      </c>
      <c r="AW21" s="9">
        <f t="shared" si="23"/>
        <v>630.50015952479907</v>
      </c>
      <c r="AX21" s="9">
        <f t="shared" si="23"/>
        <v>636.80516112004705</v>
      </c>
      <c r="AY21" s="9">
        <f t="shared" si="23"/>
        <v>643.17321273124753</v>
      </c>
      <c r="AZ21" s="9">
        <f t="shared" si="23"/>
        <v>649.60494485855997</v>
      </c>
      <c r="BA21" s="9">
        <f t="shared" si="23"/>
        <v>656.10099430714558</v>
      </c>
      <c r="BB21" s="9">
        <f t="shared" si="23"/>
        <v>662.66200425021702</v>
      </c>
      <c r="BC21" s="9">
        <f t="shared" si="23"/>
        <v>669.28862429271919</v>
      </c>
      <c r="BD21" s="9">
        <f t="shared" si="23"/>
        <v>675.98151053564641</v>
      </c>
      <c r="BE21" s="9">
        <f t="shared" si="23"/>
        <v>682.74132564100285</v>
      </c>
      <c r="BF21" s="9">
        <f t="shared" si="23"/>
        <v>689.56873889741291</v>
      </c>
      <c r="BG21" s="9">
        <f t="shared" si="23"/>
        <v>696.46442628638704</v>
      </c>
      <c r="BH21" s="9">
        <f t="shared" si="23"/>
        <v>703.42907054925092</v>
      </c>
      <c r="BI21" s="9">
        <f t="shared" si="23"/>
        <v>710.4633612547434</v>
      </c>
      <c r="BJ21" s="9">
        <f t="shared" si="23"/>
        <v>717.56799486729085</v>
      </c>
      <c r="BK21" s="9">
        <f t="shared" si="23"/>
        <v>724.7436748159638</v>
      </c>
      <c r="BL21" s="9">
        <f t="shared" si="23"/>
        <v>731.99111156412346</v>
      </c>
      <c r="BM21" s="9">
        <f t="shared" si="23"/>
        <v>739.31102267976473</v>
      </c>
      <c r="BN21" s="9">
        <f t="shared" si="23"/>
        <v>746.70413290656234</v>
      </c>
      <c r="BO21" s="9">
        <f t="shared" si="23"/>
        <v>754.17117423562797</v>
      </c>
      <c r="BP21" s="9">
        <f t="shared" si="23"/>
        <v>761.71288597798423</v>
      </c>
      <c r="BQ21" s="9">
        <f t="shared" si="23"/>
        <v>769.33001483776411</v>
      </c>
      <c r="BR21" s="9">
        <f t="shared" si="23"/>
        <v>777.02331498614171</v>
      </c>
      <c r="BS21" s="9">
        <f t="shared" si="23"/>
        <v>784.7935481360031</v>
      </c>
      <c r="BT21" s="9">
        <f t="shared" si="23"/>
        <v>792.64148361736318</v>
      </c>
      <c r="BU21" s="9">
        <f t="shared" si="23"/>
        <v>800.56789845353683</v>
      </c>
    </row>
    <row r="22" spans="2:73" x14ac:dyDescent="0.2">
      <c r="B22" s="1" t="s">
        <v>2</v>
      </c>
      <c r="C22" s="1">
        <v>118.282633</v>
      </c>
      <c r="D22" s="1">
        <v>117.563</v>
      </c>
      <c r="G22" s="1">
        <v>117.440282</v>
      </c>
      <c r="M22" s="1">
        <v>152.497907</v>
      </c>
      <c r="N22" s="1">
        <v>134.00247999999999</v>
      </c>
      <c r="O22" s="1">
        <v>117.01442</v>
      </c>
      <c r="P22" s="1">
        <v>117.01442</v>
      </c>
      <c r="Q22" s="1">
        <v>117.01442</v>
      </c>
      <c r="R22" s="1">
        <v>117.01442</v>
      </c>
      <c r="S22" s="1">
        <v>117.01442</v>
      </c>
      <c r="T22" s="1">
        <v>117.01442</v>
      </c>
      <c r="U22" s="1">
        <v>117.01442</v>
      </c>
      <c r="V22" s="1">
        <v>117.01442</v>
      </c>
    </row>
    <row r="23" spans="2:73" x14ac:dyDescent="0.2">
      <c r="B23" s="1" t="s">
        <v>29</v>
      </c>
      <c r="C23" s="4">
        <f>+C21/C22</f>
        <v>0.42271632556573202</v>
      </c>
      <c r="D23" s="4">
        <f t="shared" ref="D23:F23" si="24">+D21/D22</f>
        <v>0.93566853516837778</v>
      </c>
      <c r="E23" s="4" t="e">
        <f t="shared" si="24"/>
        <v>#DIV/0!</v>
      </c>
      <c r="F23" s="4" t="e">
        <f t="shared" si="24"/>
        <v>#DIV/0!</v>
      </c>
      <c r="G23" s="4">
        <f>+G21/G22</f>
        <v>-9.3664625226291612E-2</v>
      </c>
      <c r="M23" s="4">
        <f t="shared" ref="M23:N23" si="25">+M21/M22</f>
        <v>5.3967953802802029</v>
      </c>
      <c r="N23" s="4">
        <f t="shared" si="25"/>
        <v>4.6193174932284835</v>
      </c>
      <c r="O23" s="4">
        <f>+O21/O22</f>
        <v>-1.9570237582684253</v>
      </c>
      <c r="P23" s="4">
        <f t="shared" ref="P23:V23" si="26">+P21/P22</f>
        <v>3.9311394270894133E-2</v>
      </c>
      <c r="Q23" s="4">
        <f t="shared" si="26"/>
        <v>-0.787844780156155</v>
      </c>
      <c r="R23" s="4">
        <f t="shared" si="26"/>
        <v>0.20858442916693865</v>
      </c>
      <c r="S23" s="4">
        <f t="shared" si="26"/>
        <v>1.2956970839149591</v>
      </c>
      <c r="T23" s="4">
        <f t="shared" si="26"/>
        <v>2.480267289173848</v>
      </c>
      <c r="U23" s="4">
        <f t="shared" si="26"/>
        <v>3.273069013930606</v>
      </c>
      <c r="V23" s="4">
        <f t="shared" si="26"/>
        <v>4.1187812245568249</v>
      </c>
    </row>
    <row r="25" spans="2:73" x14ac:dyDescent="0.2">
      <c r="B25" s="1" t="s">
        <v>38</v>
      </c>
      <c r="G25" s="5">
        <f>+G3/C3-1</f>
        <v>-0.15444015444015446</v>
      </c>
      <c r="N25" s="5">
        <f t="shared" ref="N25:O25" si="27">+N3/M3-1</f>
        <v>1.6544117647058876E-2</v>
      </c>
      <c r="O25" s="5">
        <f t="shared" si="27"/>
        <v>-6.8716094032549746E-2</v>
      </c>
    </row>
    <row r="26" spans="2:73" x14ac:dyDescent="0.2">
      <c r="B26" s="1" t="s">
        <v>39</v>
      </c>
      <c r="G26" s="5">
        <f t="shared" ref="G26:G27" si="28">+G4/C4-1</f>
        <v>-5.4644808743169349E-2</v>
      </c>
      <c r="N26" s="5">
        <f t="shared" ref="N26:O26" si="29">+N4/M4-1</f>
        <v>3.2626427406198921E-2</v>
      </c>
      <c r="O26" s="5">
        <f t="shared" si="29"/>
        <v>-2.3696682464454999E-2</v>
      </c>
    </row>
    <row r="27" spans="2:73" x14ac:dyDescent="0.2">
      <c r="B27" s="1" t="s">
        <v>40</v>
      </c>
      <c r="G27" s="5">
        <f t="shared" si="28"/>
        <v>-0.14231257941550191</v>
      </c>
      <c r="N27" s="5">
        <f t="shared" ref="N27:O27" si="30">+N5/M5-1</f>
        <v>-1.8466987098406329E-2</v>
      </c>
      <c r="O27" s="5">
        <f>+O5/N5-1</f>
        <v>-9.2268041237113407E-2</v>
      </c>
    </row>
    <row r="28" spans="2:73" x14ac:dyDescent="0.2">
      <c r="B28" s="2" t="s">
        <v>30</v>
      </c>
      <c r="C28" s="2"/>
      <c r="D28" s="2"/>
      <c r="E28" s="2"/>
      <c r="F28" s="2"/>
      <c r="G28" s="8">
        <f>+G7/C7-1</f>
        <v>-0.13181448331977219</v>
      </c>
      <c r="N28" s="8">
        <f t="shared" ref="N28" si="31">+N7/M7-1</f>
        <v>-6.1903077467280188E-3</v>
      </c>
      <c r="O28" s="8">
        <f>+O7/N7-1</f>
        <v>-7.9907456842854607E-2</v>
      </c>
      <c r="P28" s="8">
        <f t="shared" ref="P28:V28" si="32">+P7/O7-1</f>
        <v>-9.9999999999999978E-2</v>
      </c>
      <c r="Q28" s="8">
        <f t="shared" si="32"/>
        <v>-2.0000000000000129E-2</v>
      </c>
      <c r="R28" s="8">
        <f t="shared" si="32"/>
        <v>7.0000000000000062E-2</v>
      </c>
      <c r="S28" s="8">
        <f t="shared" si="32"/>
        <v>7.0000000000000062E-2</v>
      </c>
      <c r="T28" s="8">
        <f t="shared" si="32"/>
        <v>7.0000000000000062E-2</v>
      </c>
      <c r="U28" s="8">
        <f t="shared" si="32"/>
        <v>5.0000000000000044E-2</v>
      </c>
      <c r="V28" s="8">
        <f t="shared" si="32"/>
        <v>5.0000000000000044E-2</v>
      </c>
    </row>
    <row r="29" spans="2:73" x14ac:dyDescent="0.2">
      <c r="B29" s="1" t="s">
        <v>31</v>
      </c>
      <c r="C29" s="5">
        <f>+C9/C7</f>
        <v>0.66069975589910501</v>
      </c>
      <c r="E29" s="5"/>
      <c r="F29" s="5"/>
      <c r="G29" s="5">
        <f>+G9/G7</f>
        <v>0.64573570759137766</v>
      </c>
      <c r="M29" s="5">
        <f t="shared" ref="M29:V29" si="33">+M9/M7</f>
        <v>0.66218606296427307</v>
      </c>
      <c r="N29" s="5">
        <f t="shared" si="33"/>
        <v>0.66275137924897665</v>
      </c>
      <c r="O29" s="5">
        <f t="shared" si="33"/>
        <v>0.64584139264990326</v>
      </c>
      <c r="P29" s="5">
        <f t="shared" si="33"/>
        <v>0.64999999999999991</v>
      </c>
      <c r="Q29" s="5">
        <f t="shared" si="33"/>
        <v>0.65</v>
      </c>
      <c r="R29" s="5">
        <f t="shared" si="33"/>
        <v>0.65</v>
      </c>
      <c r="S29" s="5">
        <f t="shared" si="33"/>
        <v>0.65000000000000013</v>
      </c>
      <c r="T29" s="5">
        <f t="shared" si="33"/>
        <v>0.65</v>
      </c>
      <c r="U29" s="5">
        <f t="shared" si="33"/>
        <v>0.65</v>
      </c>
      <c r="V29" s="5">
        <f t="shared" si="33"/>
        <v>0.65</v>
      </c>
    </row>
    <row r="30" spans="2:73" x14ac:dyDescent="0.2">
      <c r="B30" s="1" t="s">
        <v>32</v>
      </c>
      <c r="C30" s="5">
        <f>+C15/C7</f>
        <v>6.5093572009764039E-2</v>
      </c>
      <c r="E30" s="5"/>
      <c r="F30" s="5"/>
      <c r="G30" s="5">
        <f>+G15/G7</f>
        <v>-7.4976569821930648E-3</v>
      </c>
      <c r="M30" s="5">
        <f t="shared" ref="M30:V30" si="34">+M15/M7</f>
        <v>0.15970993986558188</v>
      </c>
      <c r="N30" s="5">
        <f t="shared" si="34"/>
        <v>0.12084000711870439</v>
      </c>
      <c r="O30" s="5">
        <f t="shared" si="34"/>
        <v>-4.6615087040618952E-2</v>
      </c>
      <c r="P30" s="5">
        <f t="shared" si="34"/>
        <v>1.0262196432409198E-2</v>
      </c>
      <c r="Q30" s="5">
        <f t="shared" si="34"/>
        <v>-1.6060847291850328E-2</v>
      </c>
      <c r="R30" s="5">
        <f t="shared" si="34"/>
        <v>1.4861081034063554E-2</v>
      </c>
      <c r="S30" s="5">
        <f t="shared" si="34"/>
        <v>4.434657202228625E-2</v>
      </c>
      <c r="T30" s="5">
        <f t="shared" si="34"/>
        <v>7.2462390907024374E-2</v>
      </c>
      <c r="U30" s="5">
        <f t="shared" si="34"/>
        <v>8.8782144738678473E-2</v>
      </c>
      <c r="V30" s="5">
        <f t="shared" si="34"/>
        <v>0.10463993704928189</v>
      </c>
    </row>
    <row r="32" spans="2:73" x14ac:dyDescent="0.2">
      <c r="B32" s="1" t="s">
        <v>33</v>
      </c>
      <c r="C32" s="1">
        <v>40</v>
      </c>
      <c r="D32" s="1">
        <f>-97-C32</f>
        <v>-137</v>
      </c>
      <c r="E32" s="1">
        <f>265-C32-D32</f>
        <v>362</v>
      </c>
      <c r="F32" s="1">
        <f>+N32-E32-D32-C32</f>
        <v>506</v>
      </c>
      <c r="G32" s="1">
        <v>83</v>
      </c>
      <c r="M32" s="1">
        <v>704</v>
      </c>
      <c r="N32" s="1">
        <v>771</v>
      </c>
      <c r="O32" s="1">
        <v>309</v>
      </c>
    </row>
    <row r="33" spans="2:15" x14ac:dyDescent="0.2">
      <c r="B33" s="1" t="s">
        <v>34</v>
      </c>
      <c r="C33" s="1">
        <v>50</v>
      </c>
      <c r="D33" s="1">
        <f>-90-C33</f>
        <v>-140</v>
      </c>
      <c r="E33" s="1">
        <f>139-D33-C33</f>
        <v>229</v>
      </c>
      <c r="F33" s="1">
        <f t="shared" ref="F33" si="35">+N33-E33-D33-C33</f>
        <v>87</v>
      </c>
      <c r="G33" s="1">
        <v>43</v>
      </c>
      <c r="M33" s="1">
        <v>131</v>
      </c>
      <c r="N33" s="1">
        <v>226</v>
      </c>
      <c r="O33" s="1">
        <v>189</v>
      </c>
    </row>
    <row r="34" spans="2:15" x14ac:dyDescent="0.2">
      <c r="B34" s="2" t="s">
        <v>35</v>
      </c>
      <c r="C34" s="2">
        <f>+C32-C33</f>
        <v>-10</v>
      </c>
      <c r="D34" s="2">
        <f t="shared" ref="D34:F34" si="36">+D32-D33</f>
        <v>3</v>
      </c>
      <c r="E34" s="2">
        <f t="shared" si="36"/>
        <v>133</v>
      </c>
      <c r="F34" s="2">
        <f t="shared" si="36"/>
        <v>419</v>
      </c>
      <c r="G34" s="2">
        <f>+G32-G33</f>
        <v>40</v>
      </c>
      <c r="M34" s="2">
        <f>+M32-M33</f>
        <v>573</v>
      </c>
      <c r="N34" s="2">
        <f t="shared" ref="N34:O34" si="37">+N32-N33</f>
        <v>545</v>
      </c>
      <c r="O34" s="2">
        <f t="shared" si="37"/>
        <v>120</v>
      </c>
    </row>
    <row r="35" spans="2:15" x14ac:dyDescent="0.2">
      <c r="B35" s="1" t="s">
        <v>41</v>
      </c>
      <c r="F35" s="1">
        <f t="shared" ref="F35" si="38">+SUM(C34:F34)</f>
        <v>545</v>
      </c>
      <c r="G35" s="1">
        <f>+SUM(D34:G34)</f>
        <v>595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2024-10-25T13:57:48Z</dcterms:created>
  <dcterms:modified xsi:type="dcterms:W3CDTF">2024-10-25T22:59:59Z</dcterms:modified>
</cp:coreProperties>
</file>