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203" documentId="8_{6DBF8E3C-07B0-4FAF-87AC-F881FC055B4B}" xr6:coauthVersionLast="47" xr6:coauthVersionMax="47" xr10:uidLastSave="{8EEE8D0B-8D3B-45E9-87C1-836F34DA7D61}"/>
  <bookViews>
    <workbookView xWindow="11424" yWindow="0" windowWidth="11712" windowHeight="12336" activeTab="1" xr2:uid="{965C1C1D-7730-433D-B7A3-086153BA2A4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2" l="1"/>
  <c r="Z5" i="2"/>
  <c r="Q15" i="2"/>
  <c r="R15" i="2" s="1"/>
  <c r="S15" i="2" s="1"/>
  <c r="P11" i="2"/>
  <c r="Q11" i="2" s="1"/>
  <c r="R11" i="2" s="1"/>
  <c r="S11" i="2" s="1"/>
  <c r="T11" i="2" s="1"/>
  <c r="U11" i="2" s="1"/>
  <c r="V11" i="2" s="1"/>
  <c r="W11" i="2" s="1"/>
  <c r="P7" i="2"/>
  <c r="Q7" i="2" s="1"/>
  <c r="R7" i="2" s="1"/>
  <c r="S7" i="2" s="1"/>
  <c r="T7" i="2" s="1"/>
  <c r="U7" i="2" s="1"/>
  <c r="V7" i="2" s="1"/>
  <c r="W7" i="2" s="1"/>
  <c r="P6" i="2"/>
  <c r="Q6" i="2" s="1"/>
  <c r="P5" i="2"/>
  <c r="Q5" i="2" s="1"/>
  <c r="R5" i="2" s="1"/>
  <c r="S5" i="2" s="1"/>
  <c r="P3" i="2"/>
  <c r="Q3" i="2" s="1"/>
  <c r="R3" i="2" s="1"/>
  <c r="S3" i="2" s="1"/>
  <c r="T3" i="2" s="1"/>
  <c r="U3" i="2" s="1"/>
  <c r="V3" i="2" s="1"/>
  <c r="W3" i="2" s="1"/>
  <c r="P2" i="2"/>
  <c r="P18" i="2" s="1"/>
  <c r="E2" i="2"/>
  <c r="E13" i="2"/>
  <c r="E11" i="2"/>
  <c r="E8" i="2"/>
  <c r="E7" i="2"/>
  <c r="E6" i="2"/>
  <c r="E5" i="2"/>
  <c r="E9" i="2" s="1"/>
  <c r="E3" i="2"/>
  <c r="O18" i="2"/>
  <c r="O9" i="2"/>
  <c r="N9" i="2"/>
  <c r="O4" i="2"/>
  <c r="O19" i="2" s="1"/>
  <c r="N4" i="2"/>
  <c r="N19" i="2" s="1"/>
  <c r="Q1" i="2"/>
  <c r="R1" i="2" s="1"/>
  <c r="S1" i="2" s="1"/>
  <c r="T1" i="2" s="1"/>
  <c r="U1" i="2" s="1"/>
  <c r="V1" i="2" s="1"/>
  <c r="W1" i="2" s="1"/>
  <c r="G18" i="2"/>
  <c r="F18" i="2"/>
  <c r="H18" i="2"/>
  <c r="G4" i="2"/>
  <c r="G19" i="2" s="1"/>
  <c r="F4" i="2"/>
  <c r="F19" i="2" s="1"/>
  <c r="D4" i="2"/>
  <c r="D19" i="2" s="1"/>
  <c r="J2" i="1"/>
  <c r="L9" i="2"/>
  <c r="K9" i="2"/>
  <c r="J9" i="2"/>
  <c r="L4" i="2"/>
  <c r="K4" i="2"/>
  <c r="J4" i="2"/>
  <c r="C4" i="2"/>
  <c r="C19" i="2" s="1"/>
  <c r="B4" i="2"/>
  <c r="B19" i="2" s="1"/>
  <c r="H4" i="2"/>
  <c r="H19" i="2" s="1"/>
  <c r="G25" i="2"/>
  <c r="F25" i="2"/>
  <c r="E25" i="2"/>
  <c r="D25" i="2"/>
  <c r="C25" i="2"/>
  <c r="B25" i="2"/>
  <c r="H25" i="2"/>
  <c r="G9" i="2"/>
  <c r="F9" i="2"/>
  <c r="D9" i="2"/>
  <c r="C9" i="2"/>
  <c r="B9" i="2"/>
  <c r="H9" i="2"/>
  <c r="B5" i="1"/>
  <c r="B2" i="1" a="1"/>
  <c r="B2" i="1" s="1"/>
  <c r="B4" i="1" s="1"/>
  <c r="B7" i="1" s="1"/>
  <c r="I4" i="2" l="1"/>
  <c r="I10" i="2" s="1"/>
  <c r="I12" i="2" s="1"/>
  <c r="I14" i="2" s="1"/>
  <c r="T15" i="2"/>
  <c r="Q2" i="2"/>
  <c r="Q4" i="2" s="1"/>
  <c r="Q19" i="2" s="1"/>
  <c r="K10" i="2"/>
  <c r="K12" i="2" s="1"/>
  <c r="K14" i="2" s="1"/>
  <c r="P8" i="2"/>
  <c r="P9" i="2"/>
  <c r="R6" i="2"/>
  <c r="S6" i="2" s="1"/>
  <c r="T6" i="2" s="1"/>
  <c r="U6" i="2" s="1"/>
  <c r="V6" i="2" s="1"/>
  <c r="W6" i="2" s="1"/>
  <c r="T5" i="2"/>
  <c r="P4" i="2"/>
  <c r="P19" i="2" s="1"/>
  <c r="E4" i="2"/>
  <c r="E19" i="2" s="1"/>
  <c r="N10" i="2"/>
  <c r="O10" i="2"/>
  <c r="J10" i="2"/>
  <c r="J12" i="2" s="1"/>
  <c r="J14" i="2" s="1"/>
  <c r="L10" i="2"/>
  <c r="L12" i="2" s="1"/>
  <c r="L14" i="2" s="1"/>
  <c r="K2" i="1"/>
  <c r="H10" i="2"/>
  <c r="H12" i="2" s="1"/>
  <c r="H14" i="2" s="1"/>
  <c r="C10" i="2"/>
  <c r="C12" i="2" s="1"/>
  <c r="C14" i="2" s="1"/>
  <c r="G10" i="2"/>
  <c r="G12" i="2" s="1"/>
  <c r="G14" i="2" s="1"/>
  <c r="D10" i="2"/>
  <c r="D12" i="2" s="1"/>
  <c r="D14" i="2" s="1"/>
  <c r="F10" i="2"/>
  <c r="F12" i="2" s="1"/>
  <c r="F14" i="2" s="1"/>
  <c r="B10" i="2"/>
  <c r="B12" i="2" s="1"/>
  <c r="B14" i="2" s="1"/>
  <c r="U15" i="2" l="1"/>
  <c r="O12" i="2"/>
  <c r="O14" i="2" s="1"/>
  <c r="O16" i="2" s="1"/>
  <c r="O20" i="2"/>
  <c r="N12" i="2"/>
  <c r="N14" i="2" s="1"/>
  <c r="N16" i="2" s="1"/>
  <c r="N20" i="2"/>
  <c r="R2" i="2"/>
  <c r="Q8" i="2"/>
  <c r="Q9" i="2" s="1"/>
  <c r="Q10" i="2" s="1"/>
  <c r="Q12" i="2" s="1"/>
  <c r="Q18" i="2"/>
  <c r="P10" i="2"/>
  <c r="P12" i="2" s="1"/>
  <c r="U5" i="2"/>
  <c r="E10" i="2"/>
  <c r="E12" i="2" s="1"/>
  <c r="E14" i="2" s="1"/>
  <c r="V15" i="2" l="1"/>
  <c r="Q13" i="2"/>
  <c r="Q14" i="2" s="1"/>
  <c r="Q16" i="2" s="1"/>
  <c r="R18" i="2"/>
  <c r="R8" i="2"/>
  <c r="R9" i="2" s="1"/>
  <c r="R4" i="2"/>
  <c r="R19" i="2" s="1"/>
  <c r="S2" i="2"/>
  <c r="P13" i="2"/>
  <c r="P14" i="2" s="1"/>
  <c r="Q20" i="2"/>
  <c r="P20" i="2"/>
  <c r="V5" i="2"/>
  <c r="P16" i="2" l="1"/>
  <c r="R10" i="2"/>
  <c r="R12" i="2" s="1"/>
  <c r="R13" i="2" s="1"/>
  <c r="R14" i="2" s="1"/>
  <c r="W15" i="2"/>
  <c r="R20" i="2"/>
  <c r="S8" i="2"/>
  <c r="S9" i="2" s="1"/>
  <c r="S18" i="2"/>
  <c r="T2" i="2"/>
  <c r="S4" i="2"/>
  <c r="W5" i="2"/>
  <c r="R16" i="2" l="1"/>
  <c r="S19" i="2"/>
  <c r="S10" i="2"/>
  <c r="T18" i="2"/>
  <c r="T8" i="2"/>
  <c r="T9" i="2" s="1"/>
  <c r="T4" i="2"/>
  <c r="U2" i="2"/>
  <c r="U18" i="2" l="1"/>
  <c r="U8" i="2"/>
  <c r="U9" i="2" s="1"/>
  <c r="V2" i="2"/>
  <c r="U4" i="2"/>
  <c r="T10" i="2"/>
  <c r="T19" i="2"/>
  <c r="S12" i="2"/>
  <c r="S20" i="2"/>
  <c r="V18" i="2" l="1"/>
  <c r="V8" i="2"/>
  <c r="V9" i="2" s="1"/>
  <c r="W2" i="2"/>
  <c r="V4" i="2"/>
  <c r="S13" i="2"/>
  <c r="S14" i="2" s="1"/>
  <c r="T12" i="2"/>
  <c r="T20" i="2"/>
  <c r="U10" i="2"/>
  <c r="U19" i="2"/>
  <c r="S16" i="2" l="1"/>
  <c r="W4" i="2"/>
  <c r="W18" i="2"/>
  <c r="W8" i="2"/>
  <c r="W9" i="2" s="1"/>
  <c r="T13" i="2"/>
  <c r="T14" i="2" s="1"/>
  <c r="T16" i="2" s="1"/>
  <c r="V10" i="2"/>
  <c r="V19" i="2"/>
  <c r="U20" i="2"/>
  <c r="U12" i="2"/>
  <c r="V12" i="2" l="1"/>
  <c r="V20" i="2"/>
  <c r="U13" i="2"/>
  <c r="U14" i="2" s="1"/>
  <c r="U16" i="2" s="1"/>
  <c r="W10" i="2"/>
  <c r="W19" i="2"/>
  <c r="W12" i="2" l="1"/>
  <c r="W20" i="2"/>
  <c r="V13" i="2"/>
  <c r="V14" i="2" s="1"/>
  <c r="V16" i="2" l="1"/>
  <c r="W13" i="2"/>
  <c r="W14" i="2" s="1"/>
  <c r="X14" i="2" l="1"/>
  <c r="Y14" i="2" s="1"/>
  <c r="Z14" i="2" s="1"/>
  <c r="AA14" i="2" s="1"/>
  <c r="AB14" i="2" s="1"/>
  <c r="AC14" i="2" s="1"/>
  <c r="AD14" i="2" s="1"/>
  <c r="AE14" i="2" s="1"/>
  <c r="AF14" i="2" s="1"/>
  <c r="AG14" i="2" s="1"/>
  <c r="AH14" i="2" s="1"/>
  <c r="AI14" i="2" s="1"/>
  <c r="AJ14" i="2" s="1"/>
  <c r="AK14" i="2" s="1"/>
  <c r="AL14" i="2" s="1"/>
  <c r="AM14" i="2" s="1"/>
  <c r="AN14" i="2" s="1"/>
  <c r="AO14" i="2" s="1"/>
  <c r="AP14" i="2" s="1"/>
  <c r="AQ14" i="2" s="1"/>
  <c r="AR14" i="2" s="1"/>
  <c r="AS14" i="2" s="1"/>
  <c r="AT14" i="2" s="1"/>
  <c r="AU14" i="2" s="1"/>
  <c r="AV14" i="2" s="1"/>
  <c r="AW14" i="2" s="1"/>
  <c r="AX14" i="2" s="1"/>
  <c r="AY14" i="2" s="1"/>
  <c r="AZ14" i="2" s="1"/>
  <c r="BA14" i="2" s="1"/>
  <c r="BB14" i="2" s="1"/>
  <c r="BC14" i="2" s="1"/>
  <c r="BD14" i="2" s="1"/>
  <c r="BE14" i="2" s="1"/>
  <c r="BF14" i="2" s="1"/>
  <c r="BG14" i="2" s="1"/>
  <c r="BH14" i="2" s="1"/>
  <c r="BI14" i="2" s="1"/>
  <c r="BJ14" i="2" s="1"/>
  <c r="BK14" i="2" s="1"/>
  <c r="BL14" i="2" s="1"/>
  <c r="BM14" i="2" s="1"/>
  <c r="BN14" i="2" s="1"/>
  <c r="BO14" i="2" s="1"/>
  <c r="BP14" i="2" s="1"/>
  <c r="BQ14" i="2" s="1"/>
  <c r="BR14" i="2" s="1"/>
  <c r="BS14" i="2" s="1"/>
  <c r="BT14" i="2" s="1"/>
  <c r="BU14" i="2" s="1"/>
  <c r="BV14" i="2" s="1"/>
  <c r="BW14" i="2" s="1"/>
  <c r="BX14" i="2" s="1"/>
  <c r="BY14" i="2" s="1"/>
  <c r="BZ14" i="2" s="1"/>
  <c r="CA14" i="2" s="1"/>
  <c r="CB14" i="2" s="1"/>
  <c r="CC14" i="2" s="1"/>
  <c r="CD14" i="2" s="1"/>
  <c r="CE14" i="2" s="1"/>
  <c r="CF14" i="2" s="1"/>
  <c r="CG14" i="2" s="1"/>
  <c r="CH14" i="2" s="1"/>
  <c r="CI14" i="2" s="1"/>
  <c r="CJ14" i="2" s="1"/>
  <c r="CK14" i="2" s="1"/>
  <c r="CL14" i="2" s="1"/>
  <c r="CM14" i="2" s="1"/>
  <c r="CN14" i="2" s="1"/>
  <c r="CO14" i="2" s="1"/>
  <c r="CP14" i="2" s="1"/>
  <c r="CQ14" i="2" s="1"/>
  <c r="CR14" i="2" s="1"/>
  <c r="CS14" i="2" s="1"/>
  <c r="CT14" i="2" s="1"/>
  <c r="Z4" i="2" s="1"/>
  <c r="Z6" i="2" s="1"/>
  <c r="Z7" i="2" s="1"/>
  <c r="W1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<sst xmlns="http://schemas.openxmlformats.org/spreadsheetml/2006/main" count="51" uniqueCount="49">
  <si>
    <t>ticket</t>
  </si>
  <si>
    <t>price</t>
  </si>
  <si>
    <t>shares</t>
  </si>
  <si>
    <t>mc</t>
  </si>
  <si>
    <t>cash</t>
  </si>
  <si>
    <t>debt</t>
  </si>
  <si>
    <t>ev</t>
  </si>
  <si>
    <t>COGS</t>
  </si>
  <si>
    <t>Gross Profit</t>
  </si>
  <si>
    <t>G&amp;A</t>
  </si>
  <si>
    <t>Salaries</t>
  </si>
  <si>
    <t>Professional Fees</t>
  </si>
  <si>
    <t>D&amp;A</t>
  </si>
  <si>
    <t>Total OpEx</t>
  </si>
  <si>
    <t>Other income</t>
  </si>
  <si>
    <t>Operating Income</t>
  </si>
  <si>
    <t>Pretax Income</t>
  </si>
  <si>
    <t>Taxes</t>
  </si>
  <si>
    <t>Net Income</t>
  </si>
  <si>
    <t>Q3 2022</t>
  </si>
  <si>
    <t>Q3 2023</t>
  </si>
  <si>
    <t>Q2 2023</t>
  </si>
  <si>
    <t>Q1 2023</t>
  </si>
  <si>
    <t>Q4 2022</t>
  </si>
  <si>
    <t>Q2 2022</t>
  </si>
  <si>
    <t>CFFO</t>
  </si>
  <si>
    <t>CAPEX</t>
  </si>
  <si>
    <t>FCF</t>
  </si>
  <si>
    <t>info/news:</t>
  </si>
  <si>
    <t>The Company is an electrical, broadband and electric vehicle (“EV”) charging infrastructure company that provides clients with end-to-end project management services, from advising, designing, engineering, acquiring and installing equipment, to monitoring, servicing, and maintenance</t>
  </si>
  <si>
    <t>Operating sectors: -infrastructure( EV charging); Telecom</t>
  </si>
  <si>
    <t> acquisition of EV Group Holdings LLC, and its settlement occurred in the first quarter of 2023</t>
  </si>
  <si>
    <t>Greenspeed Acquisition (as defined in Note 6), completed on August 1, 2023</t>
  </si>
  <si>
    <t>Realized and unrealized gains and losses are determined on an average cost basis. The marketable securities are investments predominantly in shares of large publicly traded companies which are being invested until such time as the funds are needed for operations.</t>
  </si>
  <si>
    <t>Infrastructure Revenue</t>
  </si>
  <si>
    <t>Q4 2023</t>
  </si>
  <si>
    <t>Q1 2024</t>
  </si>
  <si>
    <t>Q2 2024</t>
  </si>
  <si>
    <t>Q3 2024</t>
  </si>
  <si>
    <t>Revenue Y/Y</t>
  </si>
  <si>
    <t>Gross Margin</t>
  </si>
  <si>
    <t>Operating Margin</t>
  </si>
  <si>
    <t>Q1 2022</t>
  </si>
  <si>
    <t>Shares</t>
  </si>
  <si>
    <t>EPS</t>
  </si>
  <si>
    <t>discount</t>
  </si>
  <si>
    <t>maturity</t>
  </si>
  <si>
    <t>npv</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</si>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</sst>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_([$$-409]* \(#,##0.00\);_([$$-409]* &quot;-&quot;??_);_(@_)"/>
    <numFmt numFmtId="165" formatCode="_-[$$-409]* #,##0.00_ ;_-[$$-409]* \-#,##0.00\ ;_-[$$-409]* &quot;-&quot;??_ ;_-@_ "/>
    <numFmt numFmtId="166" formatCode="0.00000%"/>
    <numFmt numFmtId="167" formatCode="_-[$$-409]* #,##0.00000_ ;_-[$$-409]* \-#,##0.00000\ ;_-[$$-409]* &quot;-&quot;?????_ ;_-@_ "/>
    <numFmt numFmtId="168"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65" fontId="0" fillId="0" borderId="0" xfId="0" applyNumberFormat="1"/>
    <xf numFmtId="0" fontId="2" fillId="0" borderId="0" xfId="0" applyFont="1"/>
    <xf numFmtId="166" fontId="0" fillId="0" borderId="0" xfId="1" applyNumberFormat="1" applyFont="1"/>
    <xf numFmtId="167" fontId="0" fillId="0" borderId="0" xfId="0" applyNumberFormat="1"/>
    <xf numFmtId="9" fontId="2" fillId="0" borderId="0" xfId="0" applyNumberFormat="1" applyFont="1"/>
    <xf numFmtId="9" fontId="0" fillId="0" borderId="0" xfId="0" applyNumberFormat="1"/>
    <xf numFmtId="168" fontId="0" fillId="0" borderId="0" xfId="0" applyNumberFormat="1"/>
    <xf numFmtId="168" fontId="2"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9525</xdr:colOff>
      <xdr:row>0</xdr:row>
      <xdr:rowOff>9525</xdr:rowOff>
    </xdr:from>
    <xdr:to>
      <xdr:col>8</xdr:col>
      <xdr:colOff>9525</xdr:colOff>
      <xdr:row>29</xdr:row>
      <xdr:rowOff>76200</xdr:rowOff>
    </xdr:to>
    <xdr:cxnSp macro="">
      <xdr:nvCxnSpPr>
        <xdr:cNvPr id="3" name="Straight Connector 2">
          <a:extLst>
            <a:ext uri="{FF2B5EF4-FFF2-40B4-BE49-F238E27FC236}">
              <a16:creationId xmlns:a16="http://schemas.microsoft.com/office/drawing/2014/main" id="{E4A26EAE-E0DC-C49E-792E-C16C746E25A7}"/>
            </a:ext>
          </a:extLst>
        </xdr:cNvPr>
        <xdr:cNvCxnSpPr/>
      </xdr:nvCxnSpPr>
      <xdr:spPr>
        <a:xfrm>
          <a:off x="6172200" y="9525"/>
          <a:ext cx="0" cy="5210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594360</xdr:colOff>
      <xdr:row>0</xdr:row>
      <xdr:rowOff>7620</xdr:rowOff>
    </xdr:from>
    <xdr:to>
      <xdr:col>15</xdr:col>
      <xdr:colOff>0</xdr:colOff>
      <xdr:row>24</xdr:row>
      <xdr:rowOff>137160</xdr:rowOff>
    </xdr:to>
    <xdr:cxnSp macro="">
      <xdr:nvCxnSpPr>
        <xdr:cNvPr id="4" name="Straight Connector 3">
          <a:extLst>
            <a:ext uri="{FF2B5EF4-FFF2-40B4-BE49-F238E27FC236}">
              <a16:creationId xmlns:a16="http://schemas.microsoft.com/office/drawing/2014/main" id="{BECE17AE-45CE-39E3-D930-7C17D5BE5E9C}"/>
            </a:ext>
          </a:extLst>
        </xdr:cNvPr>
        <xdr:cNvCxnSpPr/>
      </xdr:nvCxnSpPr>
      <xdr:spPr>
        <a:xfrm>
          <a:off x="10469880" y="7620"/>
          <a:ext cx="15240" cy="415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https://www.bing.com/financeapi/forcetrigger?t=a2ija2&amp;q=XNAS%3aCRGE&amp;form=skydnc</v>
    <v>Learn more on Bing</v>
  </rv>
  <rv s="1">
    <v>en-GB</v>
    <v>a2ija2</v>
    <v>268435456</v>
    <v>1</v>
    <v>Powered by Refinitiv</v>
    <v>0</v>
    <v>CHARGE ENTERPRISES, INC. (XNAS:CRGE)</v>
    <v>2</v>
    <v>3</v>
    <v>Finance</v>
    <v>4</v>
    <v>1.5449999999999999</v>
    <v>0.08</v>
    <v>2.6815000000000002</v>
    <v>1.8E-3</v>
    <v>-9.7089999999999991E-4</v>
    <v>1.7787000000000001E-2</v>
    <v>-1E-4</v>
    <v>USD</v>
    <v>Charge Enterprises, Inc. is an electrical, broadband and electric vehicle (EV) charging infrastructure company. The Company provides clients with end-to-end project management services, from advising, designing, engineering, acquiring and installing equipment, to monitoring, servicing, and maintenance. Its segments include infrastructure and telecommunications. The Company's infrastructure segment comprises various offerings, such as broadband and wireless, electrical contracting services, electric vehicle charging and fleet services. Its telecommunications segment provides routing of voice, data, and short message services (SMS) to carriers and mobile network operators (MNO) globally and operates through its wholly owned subsidiary, PTGi International Carrier Services, Inc. The Company operates a global telecommunications network consisting of domestic switching and related peripheral equipment, carrier-grade routers, and switches for Internet and circuit-based services.</v>
    <v>332</v>
    <v>Nasdaq Stock Market</v>
    <v>XNAS</v>
    <v>XNAS</v>
    <v>125 Park Avenue, 25Th Floor, NEW YORK, NY, 10017 US</v>
    <v>0.1137</v>
    <v>Machinery, Equipment &amp; Components</v>
    <v>Stock</v>
    <v>45331.993993784374</v>
    <v>0</v>
    <v>9.6199999999999994E-2</v>
    <v>22149110</v>
    <v>CHARGE ENTERPRISES, INC.</v>
    <v>CHARGE ENTERPRISES, INC.</v>
    <v>0.10199999999999999</v>
    <v>0.1012</v>
    <v>0.10299999999999999</v>
    <v>0.10290000000000001</v>
    <v>215039900</v>
    <v>CRGE</v>
    <v>CHARGE ENTERPRISES, INC. (XNAS:CRGE)</v>
    <v>11606332</v>
    <v>39498632</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4130A-D58D-492E-8E9B-11703655883C}">
  <dimension ref="A1:K14"/>
  <sheetViews>
    <sheetView workbookViewId="0">
      <selection activeCell="B3" sqref="B3"/>
    </sheetView>
  </sheetViews>
  <sheetFormatPr defaultRowHeight="14.4" x14ac:dyDescent="0.3"/>
  <cols>
    <col min="10" max="10" width="12" bestFit="1" customWidth="1"/>
    <col min="11" max="11" width="9.6640625" bestFit="1" customWidth="1"/>
  </cols>
  <sheetData>
    <row r="1" spans="1:11" x14ac:dyDescent="0.3">
      <c r="A1" t="s">
        <v>0</v>
      </c>
      <c r="B1" t="e" vm="1">
        <v>#VALUE!</v>
      </c>
    </row>
    <row r="2" spans="1:11" x14ac:dyDescent="0.3">
      <c r="A2" t="s">
        <v>1</v>
      </c>
      <c r="B2" s="1" cm="1">
        <f t="array" ref="B2">_FV(B1,"Price")</f>
        <v>0.10299999999999999</v>
      </c>
      <c r="J2" s="4">
        <f>0.0038/B3</f>
        <v>1.7671213128781294E-5</v>
      </c>
      <c r="K2" s="5">
        <f>B4*J2</f>
        <v>3.9140000000000003E-4</v>
      </c>
    </row>
    <row r="3" spans="1:11" x14ac:dyDescent="0.3">
      <c r="A3" t="s">
        <v>2</v>
      </c>
      <c r="B3">
        <v>215.03899999999999</v>
      </c>
    </row>
    <row r="4" spans="1:11" x14ac:dyDescent="0.3">
      <c r="A4" t="s">
        <v>3</v>
      </c>
      <c r="B4" s="2">
        <f>B2*B3</f>
        <v>22.149016999999997</v>
      </c>
    </row>
    <row r="5" spans="1:11" x14ac:dyDescent="0.3">
      <c r="A5" t="s">
        <v>4</v>
      </c>
      <c r="B5">
        <f>51.359+0.886+5.868</f>
        <v>58.113000000000007</v>
      </c>
    </row>
    <row r="6" spans="1:11" x14ac:dyDescent="0.3">
      <c r="A6" t="s">
        <v>5</v>
      </c>
      <c r="B6">
        <v>27.126000000000001</v>
      </c>
    </row>
    <row r="7" spans="1:11" x14ac:dyDescent="0.3">
      <c r="A7" t="s">
        <v>6</v>
      </c>
      <c r="B7" s="2">
        <f>B4-B5+B6</f>
        <v>-8.8379830000000119</v>
      </c>
    </row>
    <row r="9" spans="1:11" x14ac:dyDescent="0.3">
      <c r="A9" t="s">
        <v>28</v>
      </c>
    </row>
    <row r="10" spans="1:11" x14ac:dyDescent="0.3">
      <c r="A10" t="s">
        <v>29</v>
      </c>
    </row>
    <row r="11" spans="1:11" x14ac:dyDescent="0.3">
      <c r="A11" t="s">
        <v>30</v>
      </c>
    </row>
    <row r="12" spans="1:11" x14ac:dyDescent="0.3">
      <c r="A12" t="s">
        <v>31</v>
      </c>
    </row>
    <row r="13" spans="1:11" x14ac:dyDescent="0.3">
      <c r="A13" t="s">
        <v>32</v>
      </c>
    </row>
    <row r="14" spans="1:11" x14ac:dyDescent="0.3">
      <c r="A1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E2839-2C44-42AF-9081-D64AE0A0EE49}">
  <dimension ref="A1:CT25"/>
  <sheetViews>
    <sheetView tabSelected="1" zoomScale="90" zoomScaleNormal="90" workbookViewId="0">
      <pane xSplit="1" ySplit="1" topLeftCell="B8" activePane="bottomRight" state="frozen"/>
      <selection pane="topRight" activeCell="B1" sqref="B1"/>
      <selection pane="bottomLeft" activeCell="A2" sqref="A2"/>
      <selection pane="bottomRight" activeCell="P1" sqref="P1"/>
    </sheetView>
  </sheetViews>
  <sheetFormatPr defaultRowHeight="14.4" x14ac:dyDescent="0.3"/>
  <cols>
    <col min="1" max="1" width="28.44140625" bestFit="1" customWidth="1"/>
    <col min="26" max="26" width="9.33203125" bestFit="1" customWidth="1"/>
    <col min="27" max="27" width="11" bestFit="1" customWidth="1"/>
  </cols>
  <sheetData>
    <row r="1" spans="1:98" x14ac:dyDescent="0.3">
      <c r="B1" s="3" t="s">
        <v>42</v>
      </c>
      <c r="C1" s="3" t="s">
        <v>24</v>
      </c>
      <c r="D1" s="3" t="s">
        <v>19</v>
      </c>
      <c r="E1" s="3" t="s">
        <v>23</v>
      </c>
      <c r="F1" s="3" t="s">
        <v>22</v>
      </c>
      <c r="G1" s="3" t="s">
        <v>21</v>
      </c>
      <c r="H1" s="3" t="s">
        <v>20</v>
      </c>
      <c r="I1" s="3" t="s">
        <v>35</v>
      </c>
      <c r="J1" s="3" t="s">
        <v>36</v>
      </c>
      <c r="K1" s="3" t="s">
        <v>37</v>
      </c>
      <c r="L1" s="3" t="s">
        <v>38</v>
      </c>
      <c r="N1" s="3">
        <v>2021</v>
      </c>
      <c r="O1" s="3">
        <v>2022</v>
      </c>
      <c r="P1" s="3">
        <v>2023</v>
      </c>
      <c r="Q1" s="3">
        <f>P1+1</f>
        <v>2024</v>
      </c>
      <c r="R1" s="3">
        <f t="shared" ref="R1:W1" si="0">Q1+1</f>
        <v>2025</v>
      </c>
      <c r="S1" s="3">
        <f t="shared" si="0"/>
        <v>2026</v>
      </c>
      <c r="T1" s="3">
        <f t="shared" si="0"/>
        <v>2027</v>
      </c>
      <c r="U1" s="3">
        <f t="shared" si="0"/>
        <v>2028</v>
      </c>
      <c r="V1" s="3">
        <f t="shared" si="0"/>
        <v>2029</v>
      </c>
      <c r="W1" s="3">
        <f t="shared" si="0"/>
        <v>2030</v>
      </c>
    </row>
    <row r="2" spans="1:98" x14ac:dyDescent="0.3">
      <c r="A2" t="s">
        <v>34</v>
      </c>
      <c r="B2" s="8">
        <v>19.617999999999999</v>
      </c>
      <c r="C2" s="8">
        <v>25.433</v>
      </c>
      <c r="D2" s="8">
        <v>26.753</v>
      </c>
      <c r="E2" s="8">
        <f>O2-SUM(B2:D2)</f>
        <v>33.718999999999994</v>
      </c>
      <c r="F2" s="8">
        <v>27.497</v>
      </c>
      <c r="G2" s="8">
        <v>29.954000000000001</v>
      </c>
      <c r="H2" s="8">
        <v>31.795000000000002</v>
      </c>
      <c r="I2" s="8"/>
      <c r="J2" s="8"/>
      <c r="K2" s="8"/>
      <c r="L2" s="8"/>
      <c r="M2" s="8"/>
      <c r="N2" s="8">
        <v>24.251000000000001</v>
      </c>
      <c r="O2" s="8">
        <v>105.523</v>
      </c>
      <c r="P2" s="8">
        <f>O2*1.11</f>
        <v>117.13053000000001</v>
      </c>
      <c r="Q2" s="8">
        <f t="shared" ref="Q2:W2" si="1">P2*1.11</f>
        <v>130.01488830000002</v>
      </c>
      <c r="R2" s="8">
        <f t="shared" si="1"/>
        <v>144.31652601300004</v>
      </c>
      <c r="S2" s="8">
        <f t="shared" si="1"/>
        <v>160.19134387443006</v>
      </c>
      <c r="T2" s="8">
        <f t="shared" si="1"/>
        <v>177.81239170061738</v>
      </c>
      <c r="U2" s="8">
        <f t="shared" si="1"/>
        <v>197.37175478768532</v>
      </c>
      <c r="V2" s="8">
        <f t="shared" si="1"/>
        <v>219.08264781433073</v>
      </c>
      <c r="W2" s="8">
        <f t="shared" si="1"/>
        <v>243.18173907390712</v>
      </c>
      <c r="Y2" t="s">
        <v>45</v>
      </c>
      <c r="Z2" s="7">
        <v>0.1</v>
      </c>
    </row>
    <row r="3" spans="1:98" x14ac:dyDescent="0.3">
      <c r="A3" t="s">
        <v>7</v>
      </c>
      <c r="B3" s="8">
        <v>14.88</v>
      </c>
      <c r="C3" s="8">
        <v>20.247</v>
      </c>
      <c r="D3" s="8">
        <v>21.606999999999999</v>
      </c>
      <c r="E3" s="8">
        <f t="shared" ref="E3" si="2">O3-SUM(B3:D3)</f>
        <v>24.848999999999997</v>
      </c>
      <c r="F3" s="8">
        <v>21.472999999999999</v>
      </c>
      <c r="G3" s="8">
        <v>23.114000000000001</v>
      </c>
      <c r="H3" s="8">
        <v>23.6</v>
      </c>
      <c r="I3" s="8"/>
      <c r="J3" s="8"/>
      <c r="K3" s="8"/>
      <c r="L3" s="8"/>
      <c r="M3" s="8"/>
      <c r="N3" s="8">
        <v>18.347000000000001</v>
      </c>
      <c r="O3" s="8">
        <v>81.582999999999998</v>
      </c>
      <c r="P3" s="8">
        <f>O3*1.07</f>
        <v>87.293810000000008</v>
      </c>
      <c r="Q3" s="8">
        <f t="shared" ref="Q3:W3" si="3">P3*1.07</f>
        <v>93.404376700000014</v>
      </c>
      <c r="R3" s="8">
        <f t="shared" si="3"/>
        <v>99.942683069000026</v>
      </c>
      <c r="S3" s="8">
        <f t="shared" si="3"/>
        <v>106.93867088383003</v>
      </c>
      <c r="T3" s="8">
        <f t="shared" si="3"/>
        <v>114.42437784569813</v>
      </c>
      <c r="U3" s="8">
        <f t="shared" si="3"/>
        <v>122.434084294897</v>
      </c>
      <c r="V3" s="8">
        <f t="shared" si="3"/>
        <v>131.0044701955398</v>
      </c>
      <c r="W3" s="8">
        <f t="shared" si="3"/>
        <v>140.17478310922758</v>
      </c>
      <c r="Y3" t="s">
        <v>46</v>
      </c>
      <c r="Z3" s="7">
        <v>-0.03</v>
      </c>
    </row>
    <row r="4" spans="1:98" x14ac:dyDescent="0.3">
      <c r="A4" s="3" t="s">
        <v>8</v>
      </c>
      <c r="B4" s="9">
        <f t="shared" ref="B4:G4" si="4">B2-B3</f>
        <v>4.7379999999999978</v>
      </c>
      <c r="C4" s="9">
        <f t="shared" si="4"/>
        <v>5.1859999999999999</v>
      </c>
      <c r="D4" s="9">
        <f t="shared" si="4"/>
        <v>5.1460000000000008</v>
      </c>
      <c r="E4" s="9">
        <f t="shared" si="4"/>
        <v>8.8699999999999974</v>
      </c>
      <c r="F4" s="9">
        <f t="shared" si="4"/>
        <v>6.0240000000000009</v>
      </c>
      <c r="G4" s="9">
        <f t="shared" si="4"/>
        <v>6.84</v>
      </c>
      <c r="H4" s="9">
        <f>H2-H3</f>
        <v>8.1950000000000003</v>
      </c>
      <c r="I4" s="9">
        <f t="shared" ref="I4:L4" si="5">I2-I3</f>
        <v>0</v>
      </c>
      <c r="J4" s="9">
        <f t="shared" si="5"/>
        <v>0</v>
      </c>
      <c r="K4" s="9">
        <f>G2-K3</f>
        <v>29.954000000000001</v>
      </c>
      <c r="L4" s="9">
        <f t="shared" si="5"/>
        <v>0</v>
      </c>
      <c r="M4" s="8"/>
      <c r="N4" s="9">
        <f t="shared" ref="N4:W4" si="6">N2-N3</f>
        <v>5.9039999999999999</v>
      </c>
      <c r="O4" s="9">
        <f t="shared" si="6"/>
        <v>23.939999999999998</v>
      </c>
      <c r="P4" s="9">
        <f t="shared" si="6"/>
        <v>29.83672</v>
      </c>
      <c r="Q4" s="9">
        <f t="shared" si="6"/>
        <v>36.610511600000009</v>
      </c>
      <c r="R4" s="9">
        <f t="shared" si="6"/>
        <v>44.373842944000017</v>
      </c>
      <c r="S4" s="9">
        <f t="shared" si="6"/>
        <v>53.252672990600033</v>
      </c>
      <c r="T4" s="9">
        <f t="shared" si="6"/>
        <v>63.388013854919251</v>
      </c>
      <c r="U4" s="9">
        <f t="shared" si="6"/>
        <v>74.937670492788314</v>
      </c>
      <c r="V4" s="9">
        <f t="shared" si="6"/>
        <v>88.078177618790932</v>
      </c>
      <c r="W4" s="9">
        <f t="shared" si="6"/>
        <v>103.00695596467955</v>
      </c>
      <c r="Y4" t="s">
        <v>47</v>
      </c>
      <c r="Z4" s="2">
        <f>NPV(Z2,P14:CT14)</f>
        <v>274.7992081943334</v>
      </c>
    </row>
    <row r="5" spans="1:98" x14ac:dyDescent="0.3">
      <c r="A5" t="s">
        <v>9</v>
      </c>
      <c r="B5" s="8">
        <v>2.742</v>
      </c>
      <c r="C5" s="8">
        <v>1.6120000000000001</v>
      </c>
      <c r="D5" s="8">
        <v>1.369</v>
      </c>
      <c r="E5" s="8">
        <f t="shared" ref="E5:E8" si="7">O5-SUM(B5:D5)</f>
        <v>-0.37399999999999967</v>
      </c>
      <c r="F5" s="8">
        <v>3.3450000000000002</v>
      </c>
      <c r="G5" s="8">
        <v>1.5269999999999999</v>
      </c>
      <c r="H5" s="8">
        <v>1.4850000000000001</v>
      </c>
      <c r="I5" s="8"/>
      <c r="J5" s="8"/>
      <c r="K5" s="8"/>
      <c r="L5" s="8"/>
      <c r="M5" s="8"/>
      <c r="N5" s="8">
        <v>2.681</v>
      </c>
      <c r="O5" s="8">
        <v>5.3490000000000002</v>
      </c>
      <c r="P5" s="8">
        <f>O5*1.07</f>
        <v>5.7234300000000005</v>
      </c>
      <c r="Q5" s="8">
        <f t="shared" ref="Q5:W5" si="8">P5*1.07</f>
        <v>6.1240701000000008</v>
      </c>
      <c r="R5" s="8">
        <f t="shared" si="8"/>
        <v>6.5527550070000009</v>
      </c>
      <c r="S5" s="8">
        <f t="shared" si="8"/>
        <v>7.0114478574900012</v>
      </c>
      <c r="T5" s="8">
        <f t="shared" si="8"/>
        <v>7.5022492075143017</v>
      </c>
      <c r="U5" s="8">
        <f t="shared" si="8"/>
        <v>8.0274066520403036</v>
      </c>
      <c r="V5" s="8">
        <f t="shared" si="8"/>
        <v>8.589325117683126</v>
      </c>
      <c r="W5" s="8">
        <f t="shared" si="8"/>
        <v>9.1905778759209458</v>
      </c>
      <c r="Y5" t="s">
        <v>48</v>
      </c>
      <c r="Z5" s="2">
        <f>Sheet1!B5-Sheet1!B6</f>
        <v>30.987000000000005</v>
      </c>
    </row>
    <row r="6" spans="1:98" x14ac:dyDescent="0.3">
      <c r="A6" t="s">
        <v>10</v>
      </c>
      <c r="B6" s="8">
        <v>4.1929999999999996</v>
      </c>
      <c r="C6" s="8">
        <v>4.0659999999999998</v>
      </c>
      <c r="D6" s="8">
        <v>4.468</v>
      </c>
      <c r="E6" s="8">
        <f t="shared" si="7"/>
        <v>-3.8550000000000004</v>
      </c>
      <c r="F6" s="8">
        <v>5.1479999999999997</v>
      </c>
      <c r="G6" s="8">
        <v>4.7329999999999997</v>
      </c>
      <c r="H6" s="8">
        <v>4.867</v>
      </c>
      <c r="I6" s="8"/>
      <c r="J6" s="8"/>
      <c r="K6" s="8"/>
      <c r="L6" s="8"/>
      <c r="M6" s="8"/>
      <c r="N6" s="8">
        <v>2.2679999999999998</v>
      </c>
      <c r="O6" s="8">
        <v>8.8719999999999999</v>
      </c>
      <c r="P6" s="8">
        <f>O6*1.07</f>
        <v>9.4930400000000006</v>
      </c>
      <c r="Q6" s="8">
        <f t="shared" ref="Q6:W6" si="9">P6*1.07</f>
        <v>10.157552800000001</v>
      </c>
      <c r="R6" s="8">
        <f t="shared" si="9"/>
        <v>10.868581496000003</v>
      </c>
      <c r="S6" s="8">
        <f t="shared" si="9"/>
        <v>11.629382200720004</v>
      </c>
      <c r="T6" s="8">
        <f t="shared" si="9"/>
        <v>12.443438954770405</v>
      </c>
      <c r="U6" s="8">
        <f t="shared" si="9"/>
        <v>13.314479681604334</v>
      </c>
      <c r="V6" s="8">
        <f t="shared" si="9"/>
        <v>14.246493259316638</v>
      </c>
      <c r="W6" s="8">
        <f t="shared" si="9"/>
        <v>15.243747787468804</v>
      </c>
      <c r="Y6" t="s">
        <v>6</v>
      </c>
      <c r="Z6" s="2">
        <f>Z4+Z5</f>
        <v>305.78620819433343</v>
      </c>
    </row>
    <row r="7" spans="1:98" x14ac:dyDescent="0.3">
      <c r="A7" t="s">
        <v>11</v>
      </c>
      <c r="B7" s="8">
        <v>1.0640000000000001</v>
      </c>
      <c r="C7" s="8">
        <v>8.1000000000000003E-2</v>
      </c>
      <c r="D7" s="8">
        <v>7.0000000000000007E-2</v>
      </c>
      <c r="E7" s="8">
        <f t="shared" si="7"/>
        <v>-0.90000000000000013</v>
      </c>
      <c r="F7" s="8">
        <v>0.46600000000000003</v>
      </c>
      <c r="G7" s="8">
        <v>7.4999999999999997E-2</v>
      </c>
      <c r="H7" s="8">
        <v>1.9E-2</v>
      </c>
      <c r="I7" s="8"/>
      <c r="J7" s="8"/>
      <c r="K7" s="8"/>
      <c r="L7" s="8"/>
      <c r="M7" s="8"/>
      <c r="N7" s="8">
        <v>3.7999999999999999E-2</v>
      </c>
      <c r="O7" s="8">
        <v>0.315</v>
      </c>
      <c r="P7" s="8">
        <f>O7*1.1</f>
        <v>0.34650000000000003</v>
      </c>
      <c r="Q7" s="8">
        <f t="shared" ref="Q7:W7" si="10">P7*1.1</f>
        <v>0.38115000000000004</v>
      </c>
      <c r="R7" s="8">
        <f t="shared" si="10"/>
        <v>0.41926500000000011</v>
      </c>
      <c r="S7" s="8">
        <f t="shared" si="10"/>
        <v>0.46119150000000014</v>
      </c>
      <c r="T7" s="8">
        <f t="shared" si="10"/>
        <v>0.5073106500000002</v>
      </c>
      <c r="U7" s="8">
        <f t="shared" si="10"/>
        <v>0.55804171500000022</v>
      </c>
      <c r="V7" s="8">
        <f t="shared" si="10"/>
        <v>0.61384588650000027</v>
      </c>
      <c r="W7" s="8">
        <f t="shared" si="10"/>
        <v>0.67523047515000034</v>
      </c>
      <c r="Y7" t="s">
        <v>1</v>
      </c>
      <c r="Z7" s="2">
        <f>Z6/P15</f>
        <v>1.4220034886431459</v>
      </c>
      <c r="AA7" s="2"/>
    </row>
    <row r="8" spans="1:98" x14ac:dyDescent="0.3">
      <c r="A8" t="s">
        <v>12</v>
      </c>
      <c r="B8" s="8">
        <v>0.20899999999999999</v>
      </c>
      <c r="C8" s="8">
        <v>1.0620000000000001</v>
      </c>
      <c r="D8" s="8">
        <v>0.39100000000000001</v>
      </c>
      <c r="E8" s="8">
        <f t="shared" si="7"/>
        <v>4.5449999999999999</v>
      </c>
      <c r="F8" s="8">
        <v>1.21</v>
      </c>
      <c r="G8" s="8">
        <v>1.1830000000000001</v>
      </c>
      <c r="H8" s="8">
        <v>1.1659999999999999</v>
      </c>
      <c r="I8" s="8"/>
      <c r="J8" s="8"/>
      <c r="K8" s="8"/>
      <c r="L8" s="8"/>
      <c r="M8" s="8"/>
      <c r="N8" s="8">
        <v>0.33100000000000002</v>
      </c>
      <c r="O8" s="8">
        <v>6.2069999999999999</v>
      </c>
      <c r="P8" s="8">
        <f>P2*0.06</f>
        <v>7.0278318000000004</v>
      </c>
      <c r="Q8" s="8">
        <f t="shared" ref="Q8:W8" si="11">Q2*0.06</f>
        <v>7.800893298000001</v>
      </c>
      <c r="R8" s="8">
        <f t="shared" si="11"/>
        <v>8.6589915607800023</v>
      </c>
      <c r="S8" s="8">
        <f t="shared" si="11"/>
        <v>9.6114806324658026</v>
      </c>
      <c r="T8" s="8">
        <f t="shared" si="11"/>
        <v>10.668743502037042</v>
      </c>
      <c r="U8" s="8">
        <f t="shared" si="11"/>
        <v>11.842305287261119</v>
      </c>
      <c r="V8" s="8">
        <f t="shared" si="11"/>
        <v>13.144958868859844</v>
      </c>
      <c r="W8" s="8">
        <f t="shared" si="11"/>
        <v>14.590904344434428</v>
      </c>
    </row>
    <row r="9" spans="1:98" x14ac:dyDescent="0.3">
      <c r="A9" t="s">
        <v>13</v>
      </c>
      <c r="B9" s="8">
        <f t="shared" ref="B9:G9" si="12">SUM(B5:B8)</f>
        <v>8.2080000000000002</v>
      </c>
      <c r="C9" s="8">
        <f t="shared" si="12"/>
        <v>6.8210000000000006</v>
      </c>
      <c r="D9" s="8">
        <f t="shared" si="12"/>
        <v>6.298</v>
      </c>
      <c r="E9" s="8">
        <f t="shared" si="12"/>
        <v>-0.58400000000000052</v>
      </c>
      <c r="F9" s="8">
        <f t="shared" si="12"/>
        <v>10.169</v>
      </c>
      <c r="G9" s="8">
        <f t="shared" si="12"/>
        <v>7.5179999999999998</v>
      </c>
      <c r="H9" s="8">
        <f>SUM(H5:H8)</f>
        <v>7.5370000000000008</v>
      </c>
      <c r="I9" s="8">
        <f t="shared" ref="I9:L9" si="13">SUM(I5:I8)</f>
        <v>0</v>
      </c>
      <c r="J9" s="8">
        <f t="shared" si="13"/>
        <v>0</v>
      </c>
      <c r="K9" s="8">
        <f t="shared" si="13"/>
        <v>0</v>
      </c>
      <c r="L9" s="8">
        <f t="shared" si="13"/>
        <v>0</v>
      </c>
      <c r="M9" s="8"/>
      <c r="N9" s="8">
        <f t="shared" ref="N9:W9" si="14">SUM(N5:N8)</f>
        <v>5.3180000000000005</v>
      </c>
      <c r="O9" s="8">
        <f t="shared" si="14"/>
        <v>20.742999999999999</v>
      </c>
      <c r="P9" s="8">
        <f t="shared" si="14"/>
        <v>22.590801800000001</v>
      </c>
      <c r="Q9" s="8">
        <f t="shared" si="14"/>
        <v>24.463666198000006</v>
      </c>
      <c r="R9" s="8">
        <f t="shared" si="14"/>
        <v>26.499593063780004</v>
      </c>
      <c r="S9" s="8">
        <f t="shared" si="14"/>
        <v>28.713502190675811</v>
      </c>
      <c r="T9" s="8">
        <f t="shared" si="14"/>
        <v>31.12174231432175</v>
      </c>
      <c r="U9" s="8">
        <f t="shared" si="14"/>
        <v>33.742233335905759</v>
      </c>
      <c r="V9" s="8">
        <f t="shared" si="14"/>
        <v>36.594623132359608</v>
      </c>
      <c r="W9" s="8">
        <f t="shared" si="14"/>
        <v>39.700460482974179</v>
      </c>
    </row>
    <row r="10" spans="1:98" x14ac:dyDescent="0.3">
      <c r="A10" s="3" t="s">
        <v>15</v>
      </c>
      <c r="B10" s="9">
        <f t="shared" ref="B10:G10" si="15">B4-B9</f>
        <v>-3.4700000000000024</v>
      </c>
      <c r="C10" s="9">
        <f t="shared" si="15"/>
        <v>-1.6350000000000007</v>
      </c>
      <c r="D10" s="9">
        <f t="shared" si="15"/>
        <v>-1.1519999999999992</v>
      </c>
      <c r="E10" s="9">
        <f t="shared" si="15"/>
        <v>9.4539999999999971</v>
      </c>
      <c r="F10" s="9">
        <f t="shared" si="15"/>
        <v>-4.1449999999999996</v>
      </c>
      <c r="G10" s="9">
        <f t="shared" si="15"/>
        <v>-0.67799999999999994</v>
      </c>
      <c r="H10" s="9">
        <f>H4-H9</f>
        <v>0.65799999999999947</v>
      </c>
      <c r="I10" s="9">
        <f t="shared" ref="I10:L10" si="16">I4-I9</f>
        <v>0</v>
      </c>
      <c r="J10" s="9">
        <f t="shared" si="16"/>
        <v>0</v>
      </c>
      <c r="K10" s="9">
        <f t="shared" si="16"/>
        <v>29.954000000000001</v>
      </c>
      <c r="L10" s="9">
        <f t="shared" si="16"/>
        <v>0</v>
      </c>
      <c r="M10" s="8"/>
      <c r="N10" s="9">
        <f t="shared" ref="N10:W10" si="17">N4-N9</f>
        <v>0.58599999999999941</v>
      </c>
      <c r="O10" s="9">
        <f t="shared" si="17"/>
        <v>3.1969999999999992</v>
      </c>
      <c r="P10" s="9">
        <f t="shared" si="17"/>
        <v>7.2459181999999984</v>
      </c>
      <c r="Q10" s="9">
        <f t="shared" si="17"/>
        <v>12.146845402000004</v>
      </c>
      <c r="R10" s="9">
        <f t="shared" si="17"/>
        <v>17.874249880220013</v>
      </c>
      <c r="S10" s="9">
        <f t="shared" si="17"/>
        <v>24.539170799924221</v>
      </c>
      <c r="T10" s="9">
        <f t="shared" si="17"/>
        <v>32.266271540597501</v>
      </c>
      <c r="U10" s="9">
        <f t="shared" si="17"/>
        <v>41.195437156882555</v>
      </c>
      <c r="V10" s="9">
        <f t="shared" si="17"/>
        <v>51.483554486431323</v>
      </c>
      <c r="W10" s="9">
        <f t="shared" si="17"/>
        <v>63.306495481705369</v>
      </c>
    </row>
    <row r="11" spans="1:98" x14ac:dyDescent="0.3">
      <c r="A11" t="s">
        <v>14</v>
      </c>
      <c r="B11" s="8">
        <v>-1.9330000000000001</v>
      </c>
      <c r="C11" s="8"/>
      <c r="D11" s="8">
        <v>-9.1999999999999998E-2</v>
      </c>
      <c r="E11" s="8">
        <f>O11-SUM(B11:D11)</f>
        <v>0.23799999999999999</v>
      </c>
      <c r="F11" s="8">
        <v>0.51800000000000002</v>
      </c>
      <c r="G11" s="8"/>
      <c r="H11" s="8">
        <v>-0.14599999999999999</v>
      </c>
      <c r="I11" s="8"/>
      <c r="J11" s="8"/>
      <c r="K11" s="8"/>
      <c r="L11" s="8"/>
      <c r="M11" s="8"/>
      <c r="N11" s="8">
        <v>-18.119</v>
      </c>
      <c r="O11" s="8">
        <v>-1.7869999999999999</v>
      </c>
      <c r="P11" s="8">
        <f>O11*0.98</f>
        <v>-1.7512599999999998</v>
      </c>
      <c r="Q11" s="8">
        <f t="shared" ref="Q11:W11" si="18">P11*0.98</f>
        <v>-1.7162347999999998</v>
      </c>
      <c r="R11" s="8">
        <f t="shared" si="18"/>
        <v>-1.6819101039999997</v>
      </c>
      <c r="S11" s="8">
        <f t="shared" si="18"/>
        <v>-1.6482719019199996</v>
      </c>
      <c r="T11" s="8">
        <f t="shared" si="18"/>
        <v>-1.6153064638815995</v>
      </c>
      <c r="U11" s="8">
        <f t="shared" si="18"/>
        <v>-1.5830003346039674</v>
      </c>
      <c r="V11" s="8">
        <f t="shared" si="18"/>
        <v>-1.551340327911888</v>
      </c>
      <c r="W11" s="8">
        <f t="shared" si="18"/>
        <v>-1.5203135213536503</v>
      </c>
    </row>
    <row r="12" spans="1:98" x14ac:dyDescent="0.3">
      <c r="A12" s="3" t="s">
        <v>16</v>
      </c>
      <c r="B12" s="9">
        <f t="shared" ref="B12:H12" si="19">B10+SUM(B11:B11)</f>
        <v>-5.4030000000000022</v>
      </c>
      <c r="C12" s="9">
        <f t="shared" si="19"/>
        <v>-1.6350000000000007</v>
      </c>
      <c r="D12" s="9">
        <f t="shared" si="19"/>
        <v>-1.2439999999999993</v>
      </c>
      <c r="E12" s="9">
        <f t="shared" si="19"/>
        <v>9.6919999999999966</v>
      </c>
      <c r="F12" s="9">
        <f t="shared" si="19"/>
        <v>-3.6269999999999998</v>
      </c>
      <c r="G12" s="9">
        <f t="shared" si="19"/>
        <v>-0.67799999999999994</v>
      </c>
      <c r="H12" s="9">
        <f t="shared" si="19"/>
        <v>0.51199999999999946</v>
      </c>
      <c r="I12" s="9">
        <f t="shared" ref="I12:L12" si="20">I10+SUM(I11:I11)</f>
        <v>0</v>
      </c>
      <c r="J12" s="9">
        <f t="shared" si="20"/>
        <v>0</v>
      </c>
      <c r="K12" s="9">
        <f t="shared" si="20"/>
        <v>29.954000000000001</v>
      </c>
      <c r="L12" s="9">
        <f t="shared" si="20"/>
        <v>0</v>
      </c>
      <c r="M12" s="8"/>
      <c r="N12" s="9">
        <f t="shared" ref="N12:W12" si="21">N10+SUM(N11:N11)</f>
        <v>-17.533000000000001</v>
      </c>
      <c r="O12" s="9">
        <f t="shared" si="21"/>
        <v>1.4099999999999993</v>
      </c>
      <c r="P12" s="9">
        <f t="shared" si="21"/>
        <v>5.4946581999999982</v>
      </c>
      <c r="Q12" s="9">
        <f t="shared" si="21"/>
        <v>10.430610602000003</v>
      </c>
      <c r="R12" s="9">
        <f t="shared" si="21"/>
        <v>16.192339776220013</v>
      </c>
      <c r="S12" s="9">
        <f t="shared" si="21"/>
        <v>22.89089889800422</v>
      </c>
      <c r="T12" s="9">
        <f t="shared" si="21"/>
        <v>30.650965076715902</v>
      </c>
      <c r="U12" s="9">
        <f t="shared" si="21"/>
        <v>39.612436822278589</v>
      </c>
      <c r="V12" s="9">
        <f t="shared" si="21"/>
        <v>49.932214158519436</v>
      </c>
      <c r="W12" s="9">
        <f t="shared" si="21"/>
        <v>61.786181960351719</v>
      </c>
    </row>
    <row r="13" spans="1:98" x14ac:dyDescent="0.3">
      <c r="A13" t="s">
        <v>17</v>
      </c>
      <c r="B13" s="8">
        <v>-1.373</v>
      </c>
      <c r="C13" s="8"/>
      <c r="D13" s="8">
        <v>9.0999999999999998E-2</v>
      </c>
      <c r="E13" s="8">
        <f>O13-SUM(B13:D13)</f>
        <v>-2.5550000000000002</v>
      </c>
      <c r="F13" s="8">
        <v>0.11</v>
      </c>
      <c r="G13" s="8"/>
      <c r="H13" s="8">
        <v>0.74099999999999999</v>
      </c>
      <c r="I13" s="8"/>
      <c r="J13" s="8"/>
      <c r="K13" s="8"/>
      <c r="L13" s="8"/>
      <c r="M13" s="8"/>
      <c r="N13" s="8">
        <v>0.127</v>
      </c>
      <c r="O13" s="8">
        <v>-3.8370000000000002</v>
      </c>
      <c r="P13" s="8">
        <f>P12*0.22</f>
        <v>1.2088248039999996</v>
      </c>
      <c r="Q13" s="8">
        <f t="shared" ref="Q13:W13" si="22">Q12*0.22</f>
        <v>2.2947343324400009</v>
      </c>
      <c r="R13" s="8">
        <f t="shared" si="22"/>
        <v>3.5623147507684028</v>
      </c>
      <c r="S13" s="8">
        <f t="shared" si="22"/>
        <v>5.0359977575609287</v>
      </c>
      <c r="T13" s="8">
        <f t="shared" si="22"/>
        <v>6.7432123168774982</v>
      </c>
      <c r="U13" s="8">
        <f t="shared" si="22"/>
        <v>8.7147361009012894</v>
      </c>
      <c r="V13" s="8">
        <f t="shared" si="22"/>
        <v>10.985087114874275</v>
      </c>
      <c r="W13" s="8">
        <f t="shared" si="22"/>
        <v>13.592960031277379</v>
      </c>
    </row>
    <row r="14" spans="1:98" x14ac:dyDescent="0.3">
      <c r="A14" s="3" t="s">
        <v>18</v>
      </c>
      <c r="B14" s="9">
        <f t="shared" ref="B14:G14" si="23">B12-B13</f>
        <v>-4.030000000000002</v>
      </c>
      <c r="C14" s="9">
        <f t="shared" si="23"/>
        <v>-1.6350000000000007</v>
      </c>
      <c r="D14" s="9">
        <f t="shared" si="23"/>
        <v>-1.3349999999999993</v>
      </c>
      <c r="E14" s="9">
        <f t="shared" si="23"/>
        <v>12.246999999999996</v>
      </c>
      <c r="F14" s="9">
        <f t="shared" si="23"/>
        <v>-3.7369999999999997</v>
      </c>
      <c r="G14" s="9">
        <f t="shared" si="23"/>
        <v>-0.67799999999999994</v>
      </c>
      <c r="H14" s="9">
        <f>H12-H13</f>
        <v>-0.22900000000000054</v>
      </c>
      <c r="I14" s="9">
        <f t="shared" ref="I14:L14" si="24">I12-I13</f>
        <v>0</v>
      </c>
      <c r="J14" s="9">
        <f t="shared" si="24"/>
        <v>0</v>
      </c>
      <c r="K14" s="9">
        <f t="shared" si="24"/>
        <v>29.954000000000001</v>
      </c>
      <c r="L14" s="9">
        <f t="shared" si="24"/>
        <v>0</v>
      </c>
      <c r="M14" s="8"/>
      <c r="N14" s="9">
        <f t="shared" ref="N14:W14" si="25">N12-N13</f>
        <v>-17.66</v>
      </c>
      <c r="O14" s="9">
        <f t="shared" si="25"/>
        <v>5.2469999999999999</v>
      </c>
      <c r="P14" s="9">
        <f t="shared" si="25"/>
        <v>4.2858333959999984</v>
      </c>
      <c r="Q14" s="9">
        <f t="shared" si="25"/>
        <v>8.1358762695600024</v>
      </c>
      <c r="R14" s="9">
        <f t="shared" si="25"/>
        <v>12.63002502545161</v>
      </c>
      <c r="S14" s="9">
        <f t="shared" si="25"/>
        <v>17.854901140443292</v>
      </c>
      <c r="T14" s="9">
        <f t="shared" si="25"/>
        <v>23.907752759838402</v>
      </c>
      <c r="U14" s="9">
        <f t="shared" si="25"/>
        <v>30.897700721377298</v>
      </c>
      <c r="V14" s="9">
        <f t="shared" si="25"/>
        <v>38.94712704364516</v>
      </c>
      <c r="W14" s="9">
        <f t="shared" si="25"/>
        <v>48.19322192907434</v>
      </c>
      <c r="X14" s="9">
        <f>W14*(1+$Z$3)</f>
        <v>46.747425271202111</v>
      </c>
      <c r="Y14" s="9">
        <f t="shared" ref="Y14:CJ14" si="26">X14*(1+$Z$3)</f>
        <v>45.345002513066049</v>
      </c>
      <c r="Z14" s="9">
        <f t="shared" si="26"/>
        <v>43.984652437674065</v>
      </c>
      <c r="AA14" s="9">
        <f t="shared" si="26"/>
        <v>42.665112864543843</v>
      </c>
      <c r="AB14" s="9">
        <f t="shared" si="26"/>
        <v>41.385159478607527</v>
      </c>
      <c r="AC14" s="9">
        <f t="shared" si="26"/>
        <v>40.143604694249298</v>
      </c>
      <c r="AD14" s="9">
        <f t="shared" si="26"/>
        <v>38.939296553421819</v>
      </c>
      <c r="AE14" s="9">
        <f t="shared" si="26"/>
        <v>37.771117656819165</v>
      </c>
      <c r="AF14" s="9">
        <f t="shared" si="26"/>
        <v>36.637984127114592</v>
      </c>
      <c r="AG14" s="9">
        <f t="shared" si="26"/>
        <v>35.53884460330115</v>
      </c>
      <c r="AH14" s="9">
        <f t="shared" si="26"/>
        <v>34.472679265202117</v>
      </c>
      <c r="AI14" s="9">
        <f t="shared" si="26"/>
        <v>33.438498887246055</v>
      </c>
      <c r="AJ14" s="9">
        <f t="shared" si="26"/>
        <v>32.435343920628675</v>
      </c>
      <c r="AK14" s="9">
        <f t="shared" si="26"/>
        <v>31.462283603009816</v>
      </c>
      <c r="AL14" s="9">
        <f t="shared" si="26"/>
        <v>30.518415094919522</v>
      </c>
      <c r="AM14" s="9">
        <f t="shared" si="26"/>
        <v>29.602862642071937</v>
      </c>
      <c r="AN14" s="9">
        <f t="shared" si="26"/>
        <v>28.714776762809777</v>
      </c>
      <c r="AO14" s="9">
        <f t="shared" si="26"/>
        <v>27.853333459925484</v>
      </c>
      <c r="AP14" s="9">
        <f t="shared" si="26"/>
        <v>27.017733456127718</v>
      </c>
      <c r="AQ14" s="9">
        <f t="shared" si="26"/>
        <v>26.207201452443886</v>
      </c>
      <c r="AR14" s="9">
        <f t="shared" si="26"/>
        <v>25.420985408870568</v>
      </c>
      <c r="AS14" s="9">
        <f t="shared" si="26"/>
        <v>24.658355846604451</v>
      </c>
      <c r="AT14" s="9">
        <f t="shared" si="26"/>
        <v>23.918605171206316</v>
      </c>
      <c r="AU14" s="9">
        <f t="shared" si="26"/>
        <v>23.201047016070127</v>
      </c>
      <c r="AV14" s="9">
        <f t="shared" si="26"/>
        <v>22.505015605588024</v>
      </c>
      <c r="AW14" s="9">
        <f t="shared" si="26"/>
        <v>21.829865137420384</v>
      </c>
      <c r="AX14" s="9">
        <f t="shared" si="26"/>
        <v>21.174969183297772</v>
      </c>
      <c r="AY14" s="9">
        <f t="shared" si="26"/>
        <v>20.539720107798839</v>
      </c>
      <c r="AZ14" s="9">
        <f t="shared" si="26"/>
        <v>19.923528504564874</v>
      </c>
      <c r="BA14" s="9">
        <f t="shared" si="26"/>
        <v>19.325822649427927</v>
      </c>
      <c r="BB14" s="9">
        <f t="shared" si="26"/>
        <v>18.746047969945089</v>
      </c>
      <c r="BC14" s="9">
        <f t="shared" si="26"/>
        <v>18.183666530846736</v>
      </c>
      <c r="BD14" s="9">
        <f t="shared" si="26"/>
        <v>17.638156534921333</v>
      </c>
      <c r="BE14" s="9">
        <f t="shared" si="26"/>
        <v>17.109011838873691</v>
      </c>
      <c r="BF14" s="9">
        <f t="shared" si="26"/>
        <v>16.595741483707481</v>
      </c>
      <c r="BG14" s="9">
        <f t="shared" si="26"/>
        <v>16.097869239196257</v>
      </c>
      <c r="BH14" s="9">
        <f t="shared" si="26"/>
        <v>15.614933162020369</v>
      </c>
      <c r="BI14" s="9">
        <f t="shared" si="26"/>
        <v>15.146485167159758</v>
      </c>
      <c r="BJ14" s="9">
        <f t="shared" si="26"/>
        <v>14.692090612144964</v>
      </c>
      <c r="BK14" s="9">
        <f t="shared" si="26"/>
        <v>14.251327893780616</v>
      </c>
      <c r="BL14" s="9">
        <f t="shared" si="26"/>
        <v>13.823788056967198</v>
      </c>
      <c r="BM14" s="9">
        <f t="shared" si="26"/>
        <v>13.409074415258182</v>
      </c>
      <c r="BN14" s="9">
        <f t="shared" si="26"/>
        <v>13.006802182800437</v>
      </c>
      <c r="BO14" s="9">
        <f t="shared" si="26"/>
        <v>12.616598117316423</v>
      </c>
      <c r="BP14" s="9">
        <f t="shared" si="26"/>
        <v>12.23810017379693</v>
      </c>
      <c r="BQ14" s="9">
        <f t="shared" si="26"/>
        <v>11.870957168583022</v>
      </c>
      <c r="BR14" s="9">
        <f t="shared" si="26"/>
        <v>11.514828453525531</v>
      </c>
      <c r="BS14" s="9">
        <f t="shared" si="26"/>
        <v>11.169383599919765</v>
      </c>
      <c r="BT14" s="9">
        <f t="shared" si="26"/>
        <v>10.834302091922172</v>
      </c>
      <c r="BU14" s="9">
        <f t="shared" si="26"/>
        <v>10.509273029164508</v>
      </c>
      <c r="BV14" s="9">
        <f t="shared" si="26"/>
        <v>10.193994838289573</v>
      </c>
      <c r="BW14" s="9">
        <f t="shared" si="26"/>
        <v>9.8881749931408862</v>
      </c>
      <c r="BX14" s="9">
        <f t="shared" si="26"/>
        <v>9.5915297433466602</v>
      </c>
      <c r="BY14" s="9">
        <f t="shared" si="26"/>
        <v>9.3037838510462603</v>
      </c>
      <c r="BZ14" s="9">
        <f t="shared" si="26"/>
        <v>9.0246703355148714</v>
      </c>
      <c r="CA14" s="9">
        <f t="shared" si="26"/>
        <v>8.7539302254494249</v>
      </c>
      <c r="CB14" s="9">
        <f t="shared" si="26"/>
        <v>8.4913123186859423</v>
      </c>
      <c r="CC14" s="9">
        <f t="shared" si="26"/>
        <v>8.2365729491253639</v>
      </c>
      <c r="CD14" s="9">
        <f t="shared" si="26"/>
        <v>7.9894757606516027</v>
      </c>
      <c r="CE14" s="9">
        <f t="shared" si="26"/>
        <v>7.7497914878320548</v>
      </c>
      <c r="CF14" s="9">
        <f t="shared" si="26"/>
        <v>7.5172977431970933</v>
      </c>
      <c r="CG14" s="9">
        <f t="shared" si="26"/>
        <v>7.2917788109011807</v>
      </c>
      <c r="CH14" s="9">
        <f t="shared" si="26"/>
        <v>7.0730254465741451</v>
      </c>
      <c r="CI14" s="9">
        <f t="shared" si="26"/>
        <v>6.8608346831769209</v>
      </c>
      <c r="CJ14" s="9">
        <f t="shared" si="26"/>
        <v>6.6550096426816134</v>
      </c>
      <c r="CK14" s="9">
        <f t="shared" ref="CK14:CT14" si="27">CJ14*(1+$Z$3)</f>
        <v>6.4553593534011648</v>
      </c>
      <c r="CL14" s="9">
        <f t="shared" si="27"/>
        <v>6.2616985727991299</v>
      </c>
      <c r="CM14" s="9">
        <f t="shared" si="27"/>
        <v>6.073847615615156</v>
      </c>
      <c r="CN14" s="9">
        <f t="shared" si="27"/>
        <v>5.8916321871467012</v>
      </c>
      <c r="CO14" s="9">
        <f t="shared" si="27"/>
        <v>5.7148832215323004</v>
      </c>
      <c r="CP14" s="9">
        <f t="shared" si="27"/>
        <v>5.5434367248863312</v>
      </c>
      <c r="CQ14" s="9">
        <f t="shared" si="27"/>
        <v>5.3771336231397413</v>
      </c>
      <c r="CR14" s="9">
        <f t="shared" si="27"/>
        <v>5.2158196144455493</v>
      </c>
      <c r="CS14" s="9">
        <f t="shared" si="27"/>
        <v>5.0593450260121831</v>
      </c>
      <c r="CT14" s="9">
        <f t="shared" si="27"/>
        <v>4.9075646752318178</v>
      </c>
    </row>
    <row r="15" spans="1:98" x14ac:dyDescent="0.3">
      <c r="A15" t="s">
        <v>43</v>
      </c>
      <c r="B15" s="8"/>
      <c r="C15" s="8"/>
      <c r="D15" s="8"/>
      <c r="E15" s="8"/>
      <c r="F15" s="8"/>
      <c r="G15" s="8"/>
      <c r="H15" s="8"/>
      <c r="I15" s="8"/>
      <c r="J15" s="8"/>
      <c r="K15" s="8"/>
      <c r="L15" s="8"/>
      <c r="M15" s="8"/>
      <c r="N15" s="8">
        <v>156.36500000000001</v>
      </c>
      <c r="O15" s="8">
        <v>197.71199999999999</v>
      </c>
      <c r="P15" s="8">
        <v>215.03899999999999</v>
      </c>
      <c r="Q15" s="8">
        <f>P15*1.02</f>
        <v>219.33977999999999</v>
      </c>
      <c r="R15" s="8">
        <f t="shared" ref="R15:W15" si="28">Q15*1.02</f>
        <v>223.72657559999999</v>
      </c>
      <c r="S15" s="8">
        <f t="shared" si="28"/>
        <v>228.20110711199999</v>
      </c>
      <c r="T15" s="8">
        <f t="shared" si="28"/>
        <v>232.76512925423998</v>
      </c>
      <c r="U15" s="8">
        <f t="shared" si="28"/>
        <v>237.42043183932478</v>
      </c>
      <c r="V15" s="8">
        <f t="shared" si="28"/>
        <v>242.16884047611128</v>
      </c>
      <c r="W15" s="8">
        <f t="shared" si="28"/>
        <v>247.01221728563351</v>
      </c>
    </row>
    <row r="16" spans="1:98" x14ac:dyDescent="0.3">
      <c r="A16" s="3" t="s">
        <v>44</v>
      </c>
      <c r="N16" s="2">
        <f t="shared" ref="N16" si="29">N14/N15</f>
        <v>-0.1129408755156205</v>
      </c>
      <c r="O16" s="2">
        <f>O14/O15</f>
        <v>2.6538601602330663E-2</v>
      </c>
      <c r="P16" s="2">
        <f t="shared" ref="P16:W16" si="30">P14/P15</f>
        <v>1.9930493519780126E-2</v>
      </c>
      <c r="Q16" s="2">
        <f t="shared" si="30"/>
        <v>3.709257057502293E-2</v>
      </c>
      <c r="R16" s="2">
        <f t="shared" si="30"/>
        <v>5.6452949282309629E-2</v>
      </c>
      <c r="S16" s="2">
        <f t="shared" si="30"/>
        <v>7.824195669515395E-2</v>
      </c>
      <c r="T16" s="2">
        <f t="shared" si="30"/>
        <v>0.10271191753007353</v>
      </c>
      <c r="U16" s="2">
        <f t="shared" si="30"/>
        <v>0.13013918171241234</v>
      </c>
      <c r="V16" s="2">
        <f t="shared" si="30"/>
        <v>0.16082633491193138</v>
      </c>
      <c r="W16" s="2">
        <f t="shared" si="30"/>
        <v>0.1951046084224487</v>
      </c>
    </row>
    <row r="18" spans="1:23" x14ac:dyDescent="0.3">
      <c r="A18" s="3" t="s">
        <v>39</v>
      </c>
      <c r="B18" s="7"/>
      <c r="C18" s="7"/>
      <c r="D18" s="7"/>
      <c r="E18" s="7"/>
      <c r="F18" s="7">
        <f t="shared" ref="F18:G18" si="31">F2/B2-1</f>
        <v>0.40162096034254269</v>
      </c>
      <c r="G18" s="7">
        <f t="shared" si="31"/>
        <v>0.17776117642433054</v>
      </c>
      <c r="H18" s="7">
        <f>H2/D2-1</f>
        <v>0.1884648450641051</v>
      </c>
      <c r="N18" s="7"/>
      <c r="O18" s="7">
        <f>O2/N2-1</f>
        <v>3.3512844831140978</v>
      </c>
      <c r="P18" s="7">
        <f t="shared" ref="P18:W18" si="32">P2/O2-1</f>
        <v>0.1100000000000001</v>
      </c>
      <c r="Q18" s="7">
        <f t="shared" si="32"/>
        <v>0.1100000000000001</v>
      </c>
      <c r="R18" s="7">
        <f t="shared" si="32"/>
        <v>0.1100000000000001</v>
      </c>
      <c r="S18" s="7">
        <f t="shared" si="32"/>
        <v>0.1100000000000001</v>
      </c>
      <c r="T18" s="7">
        <f t="shared" si="32"/>
        <v>0.1100000000000001</v>
      </c>
      <c r="U18" s="7">
        <f t="shared" si="32"/>
        <v>0.1100000000000001</v>
      </c>
      <c r="V18" s="7">
        <f t="shared" si="32"/>
        <v>0.1100000000000001</v>
      </c>
      <c r="W18" s="7">
        <f t="shared" si="32"/>
        <v>0.1100000000000001</v>
      </c>
    </row>
    <row r="19" spans="1:23" x14ac:dyDescent="0.3">
      <c r="A19" s="3" t="s">
        <v>40</v>
      </c>
      <c r="B19" s="6">
        <f t="shared" ref="B19:G19" si="33">B4/B2</f>
        <v>0.24151289631970629</v>
      </c>
      <c r="C19" s="6">
        <f t="shared" si="33"/>
        <v>0.20390830810364488</v>
      </c>
      <c r="D19" s="6">
        <f t="shared" si="33"/>
        <v>0.19235225955967558</v>
      </c>
      <c r="E19" s="6">
        <f t="shared" si="33"/>
        <v>0.26305643702363651</v>
      </c>
      <c r="F19" s="6">
        <f t="shared" si="33"/>
        <v>0.21907844492126416</v>
      </c>
      <c r="G19" s="6">
        <f t="shared" si="33"/>
        <v>0.22835013687654401</v>
      </c>
      <c r="H19" s="6">
        <f>H4/H2</f>
        <v>0.25774492844786917</v>
      </c>
      <c r="N19" s="7">
        <f t="shared" ref="N19" si="34">N4/N2</f>
        <v>0.24345387819059006</v>
      </c>
      <c r="O19" s="7">
        <f>O4/O2</f>
        <v>0.22686997147541293</v>
      </c>
      <c r="P19" s="7">
        <f t="shared" ref="P19:W19" si="35">P4/P2</f>
        <v>0.25473051304386651</v>
      </c>
      <c r="Q19" s="7">
        <f t="shared" si="35"/>
        <v>0.28158707113237585</v>
      </c>
      <c r="R19" s="7">
        <f t="shared" si="35"/>
        <v>0.30747582532580375</v>
      </c>
      <c r="S19" s="7">
        <f t="shared" si="35"/>
        <v>0.33243165144018927</v>
      </c>
      <c r="T19" s="7">
        <f t="shared" si="35"/>
        <v>0.35648816850540771</v>
      </c>
      <c r="U19" s="7">
        <f t="shared" si="35"/>
        <v>0.37967778405476243</v>
      </c>
      <c r="V19" s="7">
        <f t="shared" si="35"/>
        <v>0.40203173778251883</v>
      </c>
      <c r="W19" s="7">
        <f t="shared" si="35"/>
        <v>0.42358014362819391</v>
      </c>
    </row>
    <row r="20" spans="1:23" x14ac:dyDescent="0.3">
      <c r="A20" s="3" t="s">
        <v>41</v>
      </c>
      <c r="N20" s="7">
        <f t="shared" ref="N20" si="36">N10/N2</f>
        <v>2.4163952001979273E-2</v>
      </c>
      <c r="O20" s="7">
        <f>O10/O2</f>
        <v>3.0296712565033208E-2</v>
      </c>
      <c r="P20" s="7">
        <f t="shared" ref="P20:W20" si="37">P10/P2</f>
        <v>6.1861909102605424E-2</v>
      </c>
      <c r="Q20" s="7">
        <f t="shared" si="37"/>
        <v>9.3426572608915598E-2</v>
      </c>
      <c r="R20" s="7">
        <f t="shared" si="37"/>
        <v>0.12385449105537573</v>
      </c>
      <c r="S20" s="7">
        <f t="shared" si="37"/>
        <v>0.15318662173881165</v>
      </c>
      <c r="T20" s="7">
        <f t="shared" si="37"/>
        <v>0.18146244607588544</v>
      </c>
      <c r="U20" s="7">
        <f t="shared" si="37"/>
        <v>0.20872002278743926</v>
      </c>
      <c r="V20" s="7">
        <f t="shared" si="37"/>
        <v>0.23499603916629155</v>
      </c>
      <c r="W20" s="7">
        <f t="shared" si="37"/>
        <v>0.26032586049754924</v>
      </c>
    </row>
    <row r="23" spans="1:23" x14ac:dyDescent="0.3">
      <c r="A23" t="s">
        <v>25</v>
      </c>
      <c r="B23">
        <v>14.715999999999999</v>
      </c>
      <c r="C23">
        <v>-1.635</v>
      </c>
      <c r="D23">
        <v>-1.1519999999999999</v>
      </c>
      <c r="F23">
        <v>10.916</v>
      </c>
      <c r="G23">
        <v>0.67800000000000005</v>
      </c>
      <c r="H23">
        <v>0.65800000000000003</v>
      </c>
      <c r="N23">
        <v>-2.9079999999999999</v>
      </c>
      <c r="O23">
        <v>-11.37</v>
      </c>
    </row>
    <row r="24" spans="1:23" x14ac:dyDescent="0.3">
      <c r="A24" t="s">
        <v>26</v>
      </c>
      <c r="B24">
        <v>3.5000000000000003E-2</v>
      </c>
      <c r="C24">
        <v>7.0000000000000007E-2</v>
      </c>
      <c r="D24">
        <v>0.20499999999999999</v>
      </c>
      <c r="F24">
        <v>0.09</v>
      </c>
      <c r="G24">
        <v>0.10199999999999999</v>
      </c>
      <c r="H24">
        <v>0.14299999999999999</v>
      </c>
    </row>
    <row r="25" spans="1:23" x14ac:dyDescent="0.3">
      <c r="A25" s="3" t="s">
        <v>27</v>
      </c>
      <c r="B25" s="3">
        <f t="shared" ref="B25:G25" si="38">B23-B24</f>
        <v>14.680999999999999</v>
      </c>
      <c r="C25" s="3">
        <f t="shared" si="38"/>
        <v>-1.7050000000000001</v>
      </c>
      <c r="D25" s="3">
        <f t="shared" si="38"/>
        <v>-1.357</v>
      </c>
      <c r="E25" s="3">
        <f t="shared" si="38"/>
        <v>0</v>
      </c>
      <c r="F25" s="3">
        <f t="shared" si="38"/>
        <v>10.826000000000001</v>
      </c>
      <c r="G25" s="3">
        <f t="shared" si="38"/>
        <v>0.57600000000000007</v>
      </c>
      <c r="H25" s="3">
        <f>H23-H24</f>
        <v>0.51500000000000001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2023-12-26T13:18:11Z</dcterms:created>
  <dcterms:modified xsi:type="dcterms:W3CDTF">2024-02-10T14:48:06Z</dcterms:modified>
</cp:coreProperties>
</file>