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37" documentId="13_ncr:1_{6163E57C-C2D6-437B-B49D-E92E07F3D9CA}" xr6:coauthVersionLast="47" xr6:coauthVersionMax="47" xr10:uidLastSave="{1906D067-1135-49A1-B1A2-FF54DEEBDED8}"/>
  <bookViews>
    <workbookView xWindow="-108" yWindow="-108" windowWidth="23256" windowHeight="12456" activeTab="1" xr2:uid="{9526C754-8102-417E-8ED0-E3E090292D4C}"/>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8" i="2" l="1"/>
  <c r="S38" i="2"/>
  <c r="R38" i="2"/>
  <c r="Q38" i="2"/>
  <c r="P38" i="2"/>
  <c r="O38" i="2"/>
  <c r="N38" i="2"/>
  <c r="M38" i="2"/>
  <c r="T37" i="2"/>
  <c r="S37" i="2"/>
  <c r="R37" i="2"/>
  <c r="Q37" i="2"/>
  <c r="P37" i="2"/>
  <c r="O37" i="2"/>
  <c r="N37" i="2"/>
  <c r="M37" i="2"/>
  <c r="T35" i="2"/>
  <c r="S35" i="2"/>
  <c r="R35" i="2"/>
  <c r="Q35" i="2"/>
  <c r="P35" i="2"/>
  <c r="O35" i="2"/>
  <c r="N35" i="2"/>
  <c r="S26" i="2"/>
  <c r="R26" i="2"/>
  <c r="Q26" i="2"/>
  <c r="P26" i="2"/>
  <c r="O26" i="2"/>
  <c r="N26" i="2"/>
  <c r="M26" i="2"/>
  <c r="S24" i="2"/>
  <c r="R24" i="2"/>
  <c r="Q24" i="2"/>
  <c r="P24" i="2"/>
  <c r="O24" i="2"/>
  <c r="N24" i="2"/>
  <c r="M24" i="2"/>
  <c r="S21" i="2"/>
  <c r="R21" i="2"/>
  <c r="Q21" i="2"/>
  <c r="P21" i="2"/>
  <c r="O21" i="2"/>
  <c r="N21" i="2"/>
  <c r="M21" i="2"/>
  <c r="S15" i="2"/>
  <c r="R15" i="2"/>
  <c r="Q15" i="2"/>
  <c r="P15" i="2"/>
  <c r="O15" i="2"/>
  <c r="N15" i="2"/>
  <c r="M15" i="2"/>
  <c r="R1" i="2"/>
  <c r="Q1" i="2" s="1"/>
  <c r="P1" i="2" s="1"/>
  <c r="O1" i="2" s="1"/>
  <c r="N1" i="2" s="1"/>
  <c r="M1" i="2" s="1"/>
  <c r="S1" i="2"/>
  <c r="J34" i="2"/>
  <c r="J33" i="2"/>
  <c r="J32" i="2"/>
  <c r="J31" i="2"/>
  <c r="J30" i="2"/>
  <c r="J95" i="2"/>
  <c r="J86" i="2"/>
  <c r="J77" i="2"/>
  <c r="J99" i="2" s="1"/>
  <c r="AD6" i="2"/>
  <c r="AD34" i="2" s="1"/>
  <c r="AD5" i="2"/>
  <c r="AD33" i="2" s="1"/>
  <c r="AD4" i="2"/>
  <c r="AD32" i="2" s="1"/>
  <c r="AD3" i="2"/>
  <c r="AD31" i="2" s="1"/>
  <c r="AD2" i="2"/>
  <c r="AD30" i="2" s="1"/>
  <c r="B6" i="1"/>
  <c r="B5" i="1"/>
  <c r="I95" i="2"/>
  <c r="I86" i="2"/>
  <c r="I62" i="2"/>
  <c r="I64" i="2" s="1"/>
  <c r="I53" i="2"/>
  <c r="I40" i="2"/>
  <c r="I34" i="2"/>
  <c r="I33" i="2"/>
  <c r="I32" i="2"/>
  <c r="I31" i="2"/>
  <c r="I30" i="2"/>
  <c r="H95" i="2"/>
  <c r="H86" i="2"/>
  <c r="H34" i="2"/>
  <c r="H33" i="2"/>
  <c r="H32" i="2"/>
  <c r="H31" i="2"/>
  <c r="H30" i="2"/>
  <c r="AD10" i="2"/>
  <c r="AE10" i="2" s="1"/>
  <c r="AF10" i="2" s="1"/>
  <c r="AG10" i="2" s="1"/>
  <c r="AH10" i="2" s="1"/>
  <c r="AI10" i="2" s="1"/>
  <c r="AJ10" i="2" s="1"/>
  <c r="AD13" i="2"/>
  <c r="AE13" i="2" s="1"/>
  <c r="AF13" i="2" s="1"/>
  <c r="AG13" i="2" s="1"/>
  <c r="AH13" i="2" s="1"/>
  <c r="AI13" i="2" s="1"/>
  <c r="AJ13" i="2" s="1"/>
  <c r="AC40" i="2"/>
  <c r="AD23" i="2" s="1"/>
  <c r="AB40" i="2"/>
  <c r="AA95" i="2"/>
  <c r="AC95" i="2"/>
  <c r="AB95" i="2"/>
  <c r="Z95" i="2"/>
  <c r="Y95" i="2"/>
  <c r="X95" i="2"/>
  <c r="W95" i="2"/>
  <c r="V95" i="2"/>
  <c r="U95" i="2"/>
  <c r="T95" i="2"/>
  <c r="AC86" i="2"/>
  <c r="AB86" i="2"/>
  <c r="AA86" i="2"/>
  <c r="Z86" i="2"/>
  <c r="Y86" i="2"/>
  <c r="X86" i="2"/>
  <c r="W86" i="2"/>
  <c r="V86" i="2"/>
  <c r="U86" i="2"/>
  <c r="T86" i="2"/>
  <c r="AB20" i="2"/>
  <c r="AA20" i="2"/>
  <c r="Z20" i="2"/>
  <c r="X20" i="2"/>
  <c r="AC20" i="2"/>
  <c r="AB62" i="2"/>
  <c r="AB64" i="2" s="1"/>
  <c r="AC62" i="2"/>
  <c r="AC64" i="2" s="1"/>
  <c r="AB53" i="2"/>
  <c r="AC53" i="2"/>
  <c r="U11" i="2"/>
  <c r="V11" i="2"/>
  <c r="W11" i="2"/>
  <c r="X11" i="2"/>
  <c r="Y11" i="2"/>
  <c r="Z11" i="2"/>
  <c r="AA11" i="2"/>
  <c r="AB11" i="2"/>
  <c r="AC11" i="2"/>
  <c r="AC34" i="2"/>
  <c r="AB34" i="2"/>
  <c r="AA34" i="2"/>
  <c r="AC33" i="2"/>
  <c r="AB33" i="2"/>
  <c r="AA33" i="2"/>
  <c r="Z33" i="2"/>
  <c r="Y33" i="2"/>
  <c r="X33" i="2"/>
  <c r="W33" i="2"/>
  <c r="V33" i="2"/>
  <c r="U33" i="2"/>
  <c r="AC32" i="2"/>
  <c r="AB32" i="2"/>
  <c r="AA32" i="2"/>
  <c r="Z32" i="2"/>
  <c r="Y32" i="2"/>
  <c r="X32" i="2"/>
  <c r="W32" i="2"/>
  <c r="V32" i="2"/>
  <c r="U32" i="2"/>
  <c r="AC31" i="2"/>
  <c r="AB31" i="2"/>
  <c r="AA31" i="2"/>
  <c r="Z31" i="2"/>
  <c r="Y31" i="2"/>
  <c r="X31" i="2"/>
  <c r="W31" i="2"/>
  <c r="V31" i="2"/>
  <c r="U31" i="2"/>
  <c r="AB30" i="2"/>
  <c r="AA30" i="2"/>
  <c r="Z30" i="2"/>
  <c r="Y30" i="2"/>
  <c r="X30" i="2"/>
  <c r="W30" i="2"/>
  <c r="V30" i="2"/>
  <c r="U30" i="2"/>
  <c r="AC30" i="2"/>
  <c r="G34" i="2"/>
  <c r="G33" i="2"/>
  <c r="G32" i="2"/>
  <c r="G31" i="2"/>
  <c r="G30" i="2"/>
  <c r="F95" i="2"/>
  <c r="E95" i="2"/>
  <c r="D95" i="2"/>
  <c r="C95" i="2"/>
  <c r="G95" i="2"/>
  <c r="F86" i="2"/>
  <c r="E86" i="2"/>
  <c r="D86" i="2"/>
  <c r="C86" i="2"/>
  <c r="G86" i="2"/>
  <c r="G40" i="2"/>
  <c r="J20" i="2"/>
  <c r="I20" i="2"/>
  <c r="H20" i="2"/>
  <c r="G20" i="2"/>
  <c r="F20" i="2"/>
  <c r="E20" i="2"/>
  <c r="D20" i="2"/>
  <c r="C20" i="2"/>
  <c r="G62" i="2"/>
  <c r="G64" i="2" s="1"/>
  <c r="G53" i="2"/>
  <c r="V97" i="2" l="1"/>
  <c r="W97" i="2"/>
  <c r="AE4" i="2"/>
  <c r="AF4" i="2" s="1"/>
  <c r="AG4" i="2" s="1"/>
  <c r="AH4" i="2" s="1"/>
  <c r="AI4" i="2" s="1"/>
  <c r="AJ4" i="2" s="1"/>
  <c r="AJ32" i="2" s="1"/>
  <c r="AE5" i="2"/>
  <c r="AF5" i="2" s="1"/>
  <c r="AG5" i="2" s="1"/>
  <c r="AH5" i="2" s="1"/>
  <c r="AI5" i="2" s="1"/>
  <c r="AE6" i="2"/>
  <c r="AE2" i="2"/>
  <c r="AF2" i="2" s="1"/>
  <c r="AF30" i="2" s="1"/>
  <c r="AF32" i="2"/>
  <c r="AE3" i="2"/>
  <c r="AF3" i="2" s="1"/>
  <c r="AG3" i="2" s="1"/>
  <c r="AH3" i="2" s="1"/>
  <c r="AI3" i="2" s="1"/>
  <c r="AJ3" i="2" s="1"/>
  <c r="AJ31" i="2" s="1"/>
  <c r="AD11" i="2"/>
  <c r="AD35" i="2" s="1"/>
  <c r="T97" i="2"/>
  <c r="U97" i="2"/>
  <c r="AH33" i="2"/>
  <c r="AE32" i="2"/>
  <c r="AG32" i="2"/>
  <c r="AH32" i="2"/>
  <c r="AI32" i="2"/>
  <c r="X97" i="2"/>
  <c r="AM12" i="2"/>
  <c r="AD27" i="2"/>
  <c r="AE27" i="2" s="1"/>
  <c r="AF27" i="2" s="1"/>
  <c r="AG27" i="2" s="1"/>
  <c r="AH27" i="2" s="1"/>
  <c r="AI27" i="2" s="1"/>
  <c r="AJ27" i="2" s="1"/>
  <c r="AD18" i="2"/>
  <c r="AE18" i="2" s="1"/>
  <c r="AF18" i="2" s="1"/>
  <c r="AG18" i="2" s="1"/>
  <c r="AH18" i="2" s="1"/>
  <c r="AI18" i="2" s="1"/>
  <c r="AJ18" i="2" s="1"/>
  <c r="AD17" i="2"/>
  <c r="AE17" i="2" s="1"/>
  <c r="AF17" i="2" s="1"/>
  <c r="AG17" i="2" s="1"/>
  <c r="AH17" i="2" s="1"/>
  <c r="AI17" i="2" s="1"/>
  <c r="AJ17" i="2" s="1"/>
  <c r="T23" i="2"/>
  <c r="U23" i="2"/>
  <c r="W23" i="2"/>
  <c r="V23" i="2"/>
  <c r="X23" i="2"/>
  <c r="T20" i="2"/>
  <c r="T14" i="2"/>
  <c r="Y18" i="2"/>
  <c r="Y20" i="2" s="1"/>
  <c r="W20" i="2"/>
  <c r="V20" i="2"/>
  <c r="U20" i="2"/>
  <c r="Z14" i="2"/>
  <c r="Y14" i="2"/>
  <c r="X14" i="2"/>
  <c r="W14" i="2"/>
  <c r="V14" i="2"/>
  <c r="U14" i="2"/>
  <c r="AB1" i="2"/>
  <c r="AC1" i="2" s="1"/>
  <c r="AD1" i="2" s="1"/>
  <c r="AE1" i="2" s="1"/>
  <c r="AF1" i="2" s="1"/>
  <c r="AG1" i="2" s="1"/>
  <c r="AH1" i="2" s="1"/>
  <c r="AI1" i="2" s="1"/>
  <c r="AC14" i="2"/>
  <c r="AB14" i="2"/>
  <c r="AA14" i="2"/>
  <c r="J14" i="2"/>
  <c r="I14" i="2"/>
  <c r="H14" i="2"/>
  <c r="F14" i="2"/>
  <c r="E14" i="2"/>
  <c r="D14" i="2"/>
  <c r="C14" i="2"/>
  <c r="G14" i="2"/>
  <c r="J11" i="2"/>
  <c r="I11" i="2"/>
  <c r="H11" i="2"/>
  <c r="F11" i="2"/>
  <c r="E11" i="2"/>
  <c r="D11" i="2"/>
  <c r="C11" i="2"/>
  <c r="G11" i="2"/>
  <c r="G15" i="2" s="1"/>
  <c r="B4" i="1"/>
  <c r="B7" i="1" s="1"/>
  <c r="AG33" i="2" l="1"/>
  <c r="AE33" i="2"/>
  <c r="AF33" i="2"/>
  <c r="AG2" i="2"/>
  <c r="AG30" i="2" s="1"/>
  <c r="AG31" i="2"/>
  <c r="AF31" i="2"/>
  <c r="AE30" i="2"/>
  <c r="AJ5" i="2"/>
  <c r="AJ33" i="2" s="1"/>
  <c r="AI33" i="2"/>
  <c r="AE11" i="2"/>
  <c r="AE16" i="2" s="1"/>
  <c r="AI31" i="2"/>
  <c r="AE31" i="2"/>
  <c r="AH31" i="2"/>
  <c r="AF6" i="2"/>
  <c r="AE34" i="2"/>
  <c r="D15" i="2"/>
  <c r="D37" i="2" s="1"/>
  <c r="AD12" i="2"/>
  <c r="AD14" i="2" s="1"/>
  <c r="AD16" i="2"/>
  <c r="AD20" i="2" s="1"/>
  <c r="E15" i="2"/>
  <c r="E21" i="2" s="1"/>
  <c r="H15" i="2"/>
  <c r="H37" i="2" s="1"/>
  <c r="U35" i="2"/>
  <c r="F15" i="2"/>
  <c r="F37" i="2" s="1"/>
  <c r="I15" i="2"/>
  <c r="I37" i="2" s="1"/>
  <c r="AA35" i="2"/>
  <c r="T15" i="2"/>
  <c r="T21" i="2" s="1"/>
  <c r="T24" i="2" s="1"/>
  <c r="T26" i="2" s="1"/>
  <c r="U15" i="2"/>
  <c r="V15" i="2"/>
  <c r="V21" i="2" s="1"/>
  <c r="W15" i="2"/>
  <c r="W21" i="2" s="1"/>
  <c r="W24" i="2" s="1"/>
  <c r="W26" i="2" s="1"/>
  <c r="X15" i="2"/>
  <c r="X21" i="2" s="1"/>
  <c r="X24" i="2" s="1"/>
  <c r="X26" i="2" s="1"/>
  <c r="V35" i="2"/>
  <c r="W35" i="2"/>
  <c r="X35" i="2"/>
  <c r="Y15" i="2"/>
  <c r="Y21" i="2" s="1"/>
  <c r="Y24" i="2" s="1"/>
  <c r="Y26" i="2" s="1"/>
  <c r="Y35" i="2"/>
  <c r="Z15" i="2"/>
  <c r="Z21" i="2" s="1"/>
  <c r="Z24" i="2" s="1"/>
  <c r="Z26" i="2" s="1"/>
  <c r="Z35" i="2"/>
  <c r="AB35" i="2"/>
  <c r="J35" i="2"/>
  <c r="J15" i="2"/>
  <c r="J37" i="2" s="1"/>
  <c r="AC35" i="2"/>
  <c r="H35" i="2"/>
  <c r="G35" i="2"/>
  <c r="G21" i="2"/>
  <c r="G37" i="2"/>
  <c r="C15" i="2"/>
  <c r="I35" i="2"/>
  <c r="AC15" i="2"/>
  <c r="AB15" i="2"/>
  <c r="AA15" i="2"/>
  <c r="AH2" i="2" l="1"/>
  <c r="AE12" i="2"/>
  <c r="AE14" i="2" s="1"/>
  <c r="AF34" i="2"/>
  <c r="AG6" i="2"/>
  <c r="AF11" i="2"/>
  <c r="AF35" i="2" s="1"/>
  <c r="D21" i="2"/>
  <c r="D24" i="2" s="1"/>
  <c r="D26" i="2" s="1"/>
  <c r="AH30" i="2"/>
  <c r="AI2" i="2"/>
  <c r="W28" i="2"/>
  <c r="W66" i="2"/>
  <c r="Y28" i="2"/>
  <c r="Y66" i="2"/>
  <c r="Y77" i="2" s="1"/>
  <c r="Y97" i="2" s="1"/>
  <c r="Z28" i="2"/>
  <c r="Z66" i="2"/>
  <c r="Z77" i="2" s="1"/>
  <c r="Z97" i="2" s="1"/>
  <c r="X28" i="2"/>
  <c r="X66" i="2"/>
  <c r="T28" i="2"/>
  <c r="T66" i="2"/>
  <c r="AE20" i="2"/>
  <c r="E37" i="2"/>
  <c r="H21" i="2"/>
  <c r="H24" i="2" s="1"/>
  <c r="H26" i="2" s="1"/>
  <c r="F21" i="2"/>
  <c r="F24" i="2" s="1"/>
  <c r="F26" i="2" s="1"/>
  <c r="AE35" i="2"/>
  <c r="AD15" i="2"/>
  <c r="AD37" i="2" s="1"/>
  <c r="I21" i="2"/>
  <c r="I38" i="2" s="1"/>
  <c r="Z37" i="2"/>
  <c r="U21" i="2"/>
  <c r="U37" i="2"/>
  <c r="W38" i="2"/>
  <c r="V37" i="2"/>
  <c r="W37" i="2"/>
  <c r="X38" i="2"/>
  <c r="X37" i="2"/>
  <c r="V24" i="2"/>
  <c r="V26" i="2" s="1"/>
  <c r="V38" i="2"/>
  <c r="Y37" i="2"/>
  <c r="Y38" i="2"/>
  <c r="Z38" i="2"/>
  <c r="J21" i="2"/>
  <c r="J38" i="2" s="1"/>
  <c r="AC21" i="2"/>
  <c r="AC37" i="2"/>
  <c r="AB21" i="2"/>
  <c r="AB37" i="2"/>
  <c r="G38" i="2"/>
  <c r="G24" i="2"/>
  <c r="G26" i="2" s="1"/>
  <c r="C37" i="2"/>
  <c r="C21" i="2"/>
  <c r="E24" i="2"/>
  <c r="E26" i="2" s="1"/>
  <c r="E38" i="2"/>
  <c r="AA21" i="2"/>
  <c r="AA37" i="2"/>
  <c r="AF12" i="2" l="1"/>
  <c r="AF14" i="2" s="1"/>
  <c r="AF15" i="2" s="1"/>
  <c r="AF37" i="2" s="1"/>
  <c r="AF16" i="2"/>
  <c r="AF20" i="2" s="1"/>
  <c r="AH6" i="2"/>
  <c r="AG34" i="2"/>
  <c r="AG11" i="2"/>
  <c r="H28" i="2"/>
  <c r="H66" i="2"/>
  <c r="H77" i="2" s="1"/>
  <c r="D38" i="2"/>
  <c r="AI30" i="2"/>
  <c r="AE15" i="2"/>
  <c r="AE21" i="2" s="1"/>
  <c r="AJ2" i="2"/>
  <c r="V28" i="2"/>
  <c r="V66" i="2"/>
  <c r="F28" i="2"/>
  <c r="F66" i="2"/>
  <c r="F77" i="2" s="1"/>
  <c r="G28" i="2"/>
  <c r="G66" i="2"/>
  <c r="G77" i="2" s="1"/>
  <c r="E28" i="2"/>
  <c r="E66" i="2"/>
  <c r="E77" i="2" s="1"/>
  <c r="D28" i="2"/>
  <c r="D66" i="2"/>
  <c r="D77" i="2" s="1"/>
  <c r="H38" i="2"/>
  <c r="F38" i="2"/>
  <c r="I24" i="2"/>
  <c r="I26" i="2" s="1"/>
  <c r="AD21" i="2"/>
  <c r="U24" i="2"/>
  <c r="U26" i="2" s="1"/>
  <c r="U38" i="2"/>
  <c r="J24" i="2"/>
  <c r="J26" i="2" s="1"/>
  <c r="J28" i="2" s="1"/>
  <c r="C38" i="2"/>
  <c r="C24" i="2"/>
  <c r="C26" i="2" s="1"/>
  <c r="AC24" i="2"/>
  <c r="AC26" i="2" s="1"/>
  <c r="AC38" i="2"/>
  <c r="AA24" i="2"/>
  <c r="AA26" i="2" s="1"/>
  <c r="AA38" i="2"/>
  <c r="AB24" i="2"/>
  <c r="AB26" i="2" s="1"/>
  <c r="AB38" i="2"/>
  <c r="I28" i="2" l="1"/>
  <c r="I66" i="2"/>
  <c r="I77" i="2" s="1"/>
  <c r="AG12" i="2"/>
  <c r="AG14" i="2" s="1"/>
  <c r="AG35" i="2"/>
  <c r="AG16" i="2"/>
  <c r="AI6" i="2"/>
  <c r="AH34" i="2"/>
  <c r="AH11" i="2"/>
  <c r="H99" i="2"/>
  <c r="H97" i="2"/>
  <c r="D97" i="2"/>
  <c r="D99" i="2"/>
  <c r="E97" i="2"/>
  <c r="E99" i="2"/>
  <c r="F97" i="2"/>
  <c r="F99" i="2"/>
  <c r="G97" i="2"/>
  <c r="G99" i="2"/>
  <c r="AJ30" i="2"/>
  <c r="AE37" i="2"/>
  <c r="AF21" i="2"/>
  <c r="AF38" i="2" s="1"/>
  <c r="AC28" i="2"/>
  <c r="AC66" i="2"/>
  <c r="AC77" i="2" s="1"/>
  <c r="AG20" i="2"/>
  <c r="AA28" i="2"/>
  <c r="AA66" i="2"/>
  <c r="AA77" i="2" s="1"/>
  <c r="AB28" i="2"/>
  <c r="AB66" i="2"/>
  <c r="AB77" i="2" s="1"/>
  <c r="U28" i="2"/>
  <c r="U66" i="2"/>
  <c r="C28" i="2"/>
  <c r="C66" i="2"/>
  <c r="C77" i="2" s="1"/>
  <c r="AE38" i="2"/>
  <c r="AD24" i="2"/>
  <c r="AD38" i="2"/>
  <c r="I97" i="2" l="1"/>
  <c r="I99" i="2"/>
  <c r="J100" i="2" s="1"/>
  <c r="AM16" i="2" s="1"/>
  <c r="AM17" i="2" s="1"/>
  <c r="I100" i="2"/>
  <c r="AH35" i="2"/>
  <c r="AH16" i="2"/>
  <c r="AH20" i="2" s="1"/>
  <c r="AH12" i="2"/>
  <c r="AH14" i="2" s="1"/>
  <c r="AB97" i="2"/>
  <c r="AB99" i="2"/>
  <c r="H100" i="2"/>
  <c r="AA97" i="2"/>
  <c r="AA99" i="2"/>
  <c r="AJ6" i="2"/>
  <c r="AI34" i="2"/>
  <c r="AI11" i="2"/>
  <c r="G100" i="2"/>
  <c r="C97" i="2"/>
  <c r="C99" i="2"/>
  <c r="F100" i="2" s="1"/>
  <c r="AC97" i="2"/>
  <c r="AC99" i="2"/>
  <c r="AG15" i="2"/>
  <c r="AG37" i="2" s="1"/>
  <c r="AD25" i="2"/>
  <c r="AD26" i="2" s="1"/>
  <c r="AD40" i="2" s="1"/>
  <c r="AI16" i="2" l="1"/>
  <c r="AI20" i="2" s="1"/>
  <c r="AI12" i="2"/>
  <c r="AI35" i="2"/>
  <c r="AJ34" i="2"/>
  <c r="AJ11" i="2"/>
  <c r="AG21" i="2"/>
  <c r="AG38" i="2" s="1"/>
  <c r="AH15" i="2"/>
  <c r="AH37" i="2" s="1"/>
  <c r="AI14" i="2"/>
  <c r="AE23" i="2"/>
  <c r="AE24" i="2" s="1"/>
  <c r="AE25" i="2" s="1"/>
  <c r="AE26" i="2" s="1"/>
  <c r="AE28" i="2" s="1"/>
  <c r="AD28" i="2"/>
  <c r="AJ35" i="2" l="1"/>
  <c r="AJ12" i="2"/>
  <c r="AJ14" i="2" s="1"/>
  <c r="AJ15" i="2" s="1"/>
  <c r="AJ37" i="2" s="1"/>
  <c r="AJ16" i="2"/>
  <c r="AJ20" i="2" s="1"/>
  <c r="AI15" i="2"/>
  <c r="AI37" i="2" s="1"/>
  <c r="AH21" i="2"/>
  <c r="AH38" i="2" s="1"/>
  <c r="AE40" i="2"/>
  <c r="AF23" i="2" s="1"/>
  <c r="AF24" i="2" s="1"/>
  <c r="AF25" i="2" s="1"/>
  <c r="AF26" i="2" s="1"/>
  <c r="AF28" i="2" s="1"/>
  <c r="AI21" i="2" l="1"/>
  <c r="AI38" i="2" s="1"/>
  <c r="AJ21" i="2"/>
  <c r="AJ38" i="2" s="1"/>
  <c r="AF40" i="2"/>
  <c r="AG23" i="2" s="1"/>
  <c r="AG24" i="2" s="1"/>
  <c r="AG25" i="2" s="1"/>
  <c r="AG26" i="2" s="1"/>
  <c r="AG28" i="2" s="1"/>
  <c r="AG40" i="2" l="1"/>
  <c r="AH23" i="2" l="1"/>
  <c r="AH24" i="2" s="1"/>
  <c r="AH25" i="2" s="1"/>
  <c r="AH26" i="2" s="1"/>
  <c r="AH40" i="2" s="1"/>
  <c r="AI23" i="2" l="1"/>
  <c r="AI24" i="2" s="1"/>
  <c r="AI25" i="2" s="1"/>
  <c r="AI26" i="2" s="1"/>
  <c r="AI28" i="2" s="1"/>
  <c r="AH28" i="2"/>
  <c r="AI40" i="2" l="1"/>
  <c r="AJ23" i="2" s="1"/>
  <c r="AJ24" i="2" s="1"/>
  <c r="AJ25" i="2" s="1"/>
  <c r="AJ26" i="2" s="1"/>
  <c r="AK26" i="2" s="1"/>
  <c r="AJ28" i="2" l="1"/>
  <c r="AL26" i="2"/>
  <c r="AM26" i="2" s="1"/>
  <c r="AN26" i="2" s="1"/>
  <c r="AO26" i="2" s="1"/>
  <c r="AP26" i="2" s="1"/>
  <c r="AQ26" i="2" s="1"/>
  <c r="AR26" i="2" s="1"/>
  <c r="AS26" i="2" s="1"/>
  <c r="AT26" i="2" s="1"/>
  <c r="AU26" i="2" s="1"/>
  <c r="AV26" i="2" s="1"/>
  <c r="AW26" i="2" s="1"/>
  <c r="AX26" i="2" s="1"/>
  <c r="AY26" i="2" s="1"/>
  <c r="AZ26" i="2" s="1"/>
  <c r="BA26" i="2" s="1"/>
  <c r="BB26" i="2" s="1"/>
  <c r="BC26" i="2" s="1"/>
  <c r="BD26" i="2" s="1"/>
  <c r="BE26" i="2" s="1"/>
  <c r="BF26" i="2" s="1"/>
  <c r="BG26" i="2" s="1"/>
  <c r="BH26" i="2" s="1"/>
  <c r="BI26" i="2" s="1"/>
  <c r="BJ26" i="2" s="1"/>
  <c r="BK26" i="2" s="1"/>
  <c r="BL26" i="2" s="1"/>
  <c r="BM26" i="2" s="1"/>
  <c r="BN26" i="2" s="1"/>
  <c r="BO26" i="2" s="1"/>
  <c r="BP26" i="2" s="1"/>
  <c r="BQ26" i="2" s="1"/>
  <c r="BR26" i="2" s="1"/>
  <c r="BS26" i="2" s="1"/>
  <c r="BT26" i="2" s="1"/>
  <c r="AJ40" i="2"/>
  <c r="AM11" i="2" l="1"/>
  <c r="AM13" i="2" s="1"/>
  <c r="AM14"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author>
  </authors>
  <commentList>
    <comment ref="J11" authorId="0" shapeId="0" xr:uid="{F490C4D4-D752-4427-A9A0-ED1D1E022F1E}">
      <text>
        <r>
          <rPr>
            <b/>
            <sz val="9"/>
            <color indexed="81"/>
            <rFont val="Tahoma"/>
            <family val="2"/>
          </rPr>
          <t>alexa:</t>
        </r>
        <r>
          <rPr>
            <sz val="9"/>
            <color indexed="81"/>
            <rFont val="Tahoma"/>
            <family val="2"/>
          </rPr>
          <t xml:space="preserve">
9900-10100 ~7/9% Y/Y</t>
        </r>
      </text>
    </comment>
    <comment ref="AD11" authorId="0" shapeId="0" xr:uid="{64C9A263-9E89-4442-89E6-B1007CDEE7E6}">
      <text>
        <r>
          <rPr>
            <b/>
            <sz val="9"/>
            <color indexed="81"/>
            <rFont val="Tahoma"/>
            <family val="2"/>
          </rPr>
          <t>alexa:</t>
        </r>
        <r>
          <rPr>
            <sz val="9"/>
            <color indexed="81"/>
            <rFont val="Tahoma"/>
            <family val="2"/>
          </rPr>
          <t xml:space="preserve">
37800-38000</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<sst xmlns="http://schemas.openxmlformats.org/spreadsheetml/2006/main" count="138" uniqueCount="128">
  <si>
    <t>ticket</t>
  </si>
  <si>
    <t>price</t>
  </si>
  <si>
    <t>shares</t>
  </si>
  <si>
    <t>mc</t>
  </si>
  <si>
    <t>cash</t>
  </si>
  <si>
    <t>debt</t>
  </si>
  <si>
    <t>ev</t>
  </si>
  <si>
    <t>Subscriptions</t>
  </si>
  <si>
    <t>Services</t>
  </si>
  <si>
    <t>Total Revenue</t>
  </si>
  <si>
    <t>Q1 2024</t>
  </si>
  <si>
    <t>Q2 2024</t>
  </si>
  <si>
    <t>Q3 2024</t>
  </si>
  <si>
    <t>Q4 2024</t>
  </si>
  <si>
    <t>Q1 2025</t>
  </si>
  <si>
    <t>Q2 2025</t>
  </si>
  <si>
    <t>Q3 2025</t>
  </si>
  <si>
    <t>Q4 2025</t>
  </si>
  <si>
    <t>COGS subs</t>
  </si>
  <si>
    <t>COGS services</t>
  </si>
  <si>
    <t>Total COGS</t>
  </si>
  <si>
    <t>Gross Profit</t>
  </si>
  <si>
    <t>R&amp;D</t>
  </si>
  <si>
    <t>S&amp;M</t>
  </si>
  <si>
    <t>G&amp;A</t>
  </si>
  <si>
    <t>Total Opex</t>
  </si>
  <si>
    <t>Operating Income</t>
  </si>
  <si>
    <t xml:space="preserve">Investments </t>
  </si>
  <si>
    <t>Other Income</t>
  </si>
  <si>
    <t>Pretax Income</t>
  </si>
  <si>
    <t>Taxes</t>
  </si>
  <si>
    <t>Net Income</t>
  </si>
  <si>
    <t xml:space="preserve">Shares </t>
  </si>
  <si>
    <t>EPS</t>
  </si>
  <si>
    <t>Revenue Y/Y</t>
  </si>
  <si>
    <t>Gross Margin</t>
  </si>
  <si>
    <t>Operating Margin</t>
  </si>
  <si>
    <t>CFFO</t>
  </si>
  <si>
    <t>SBC</t>
  </si>
  <si>
    <t>FCF</t>
  </si>
  <si>
    <t>Sales</t>
  </si>
  <si>
    <t>Service</t>
  </si>
  <si>
    <t>Platform</t>
  </si>
  <si>
    <t>Marketing &amp; Commerce</t>
  </si>
  <si>
    <t>Integration &amp; Analytics</t>
  </si>
  <si>
    <t>Discount</t>
  </si>
  <si>
    <t>Maturity</t>
  </si>
  <si>
    <t>NPV</t>
  </si>
  <si>
    <t>Net Cash</t>
  </si>
  <si>
    <t>EV</t>
  </si>
  <si>
    <t>Price</t>
  </si>
  <si>
    <t>main</t>
  </si>
  <si>
    <t>ms</t>
  </si>
  <si>
    <t>AR</t>
  </si>
  <si>
    <t>Cost of revenue contracts</t>
  </si>
  <si>
    <t>Prepaid expenses</t>
  </si>
  <si>
    <t>Prepaid expenses and OCA</t>
  </si>
  <si>
    <t>PPE</t>
  </si>
  <si>
    <t>Operating lease assets</t>
  </si>
  <si>
    <t>NC cost of revenue contracts</t>
  </si>
  <si>
    <t>Investments</t>
  </si>
  <si>
    <t>Goodwill</t>
  </si>
  <si>
    <t>Intangible Assets</t>
  </si>
  <si>
    <t>Deferred tax assets</t>
  </si>
  <si>
    <t>Total assets</t>
  </si>
  <si>
    <t>AP</t>
  </si>
  <si>
    <t>Operating lease liabilities</t>
  </si>
  <si>
    <t>Unearned revenue</t>
  </si>
  <si>
    <t>Current Debt</t>
  </si>
  <si>
    <t>NC Debt</t>
  </si>
  <si>
    <t>NC operating lease liabilities</t>
  </si>
  <si>
    <t xml:space="preserve">Other NC liabilities </t>
  </si>
  <si>
    <t>Total Liabilities</t>
  </si>
  <si>
    <t>S/E</t>
  </si>
  <si>
    <t>L+S/E</t>
  </si>
  <si>
    <t>Restructuring</t>
  </si>
  <si>
    <t>net cash</t>
  </si>
  <si>
    <t>D&amp;A</t>
  </si>
  <si>
    <t xml:space="preserve">Amortization of costs </t>
  </si>
  <si>
    <t>Gains on investments</t>
  </si>
  <si>
    <t>Business combinations cash</t>
  </si>
  <si>
    <t>Purchases of investments</t>
  </si>
  <si>
    <t>Sales of investments</t>
  </si>
  <si>
    <t>Purchases of MS</t>
  </si>
  <si>
    <t>Sales of MS</t>
  </si>
  <si>
    <t>Maturities of MS</t>
  </si>
  <si>
    <t>Capital Expenditures</t>
  </si>
  <si>
    <t>CFFI</t>
  </si>
  <si>
    <t>Repurchase of stock</t>
  </si>
  <si>
    <t>Proceeds from employee stock plans</t>
  </si>
  <si>
    <t>Principal payments of financing obligations</t>
  </si>
  <si>
    <t>Repayments of debt</t>
  </si>
  <si>
    <t>Dividend payments</t>
  </si>
  <si>
    <t>CFFF</t>
  </si>
  <si>
    <t>FX</t>
  </si>
  <si>
    <t>Net change in cash</t>
  </si>
  <si>
    <t>Sales Y/Y</t>
  </si>
  <si>
    <t>Service Y/Y</t>
  </si>
  <si>
    <t>Platform Y/Y</t>
  </si>
  <si>
    <t>Marketing &amp; Commerce Y/Y</t>
  </si>
  <si>
    <t>Integration &amp; Analytics Y/Y</t>
  </si>
  <si>
    <t>ROIC</t>
  </si>
  <si>
    <t>Proceeds from issuance of debt</t>
  </si>
  <si>
    <t>Repayments of Slack Convertible Notes</t>
  </si>
  <si>
    <t>Founded</t>
  </si>
  <si>
    <t>Founder</t>
  </si>
  <si>
    <t>CEO</t>
  </si>
  <si>
    <t>HQ</t>
  </si>
  <si>
    <t xml:space="preserve">IPO </t>
  </si>
  <si>
    <t>Industry</t>
  </si>
  <si>
    <t>Marc Benioff, Parker Harris, Frank Dominguez, and Dave Moellenhoff</t>
  </si>
  <si>
    <t>San Francisco, California, USA</t>
  </si>
  <si>
    <t>Customer Relationship Management (CRM)</t>
  </si>
  <si>
    <t>Employees</t>
  </si>
  <si>
    <t>73k</t>
  </si>
  <si>
    <t>Notable Acquisitions:</t>
  </si>
  <si>
    <t>Tableau (2019): $15.7 billion (analytics).</t>
  </si>
  <si>
    <t>MuleSoft (2018): $6.5 billion (integration software).</t>
  </si>
  <si>
    <t>Slack (2021): $27.7 billion (business communication and collaboration).</t>
  </si>
  <si>
    <t>ExactTarget (2013): $2.5 billion (digital marketing)</t>
  </si>
  <si>
    <t>Key Markets:</t>
  </si>
  <si>
    <t>Enterprise Collaboration</t>
  </si>
  <si>
    <t>Cloud Services</t>
  </si>
  <si>
    <t>Marc Benioff</t>
  </si>
  <si>
    <t>2004, NYSE</t>
  </si>
  <si>
    <t>FCF TTM</t>
  </si>
  <si>
    <t>TTM FCF</t>
  </si>
  <si>
    <t>EV/FCF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</si>
</sst>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 ;_-[$$-409]* \-#,##0.00\ ;_-[$$-409]* &quot;-&quot;??_ ;_-@_ "/>
    <numFmt numFmtId="165" formatCode="0.0%"/>
    <numFmt numFmtId="166" formatCode="_([$$-409]* #,##0.00_);_([$$-409]* \(#,##0.00\);_([$$-409]* &quot;-&quot;??_);_(@_)"/>
    <numFmt numFmtId="167" formatCode="0.00\x"/>
  </numFmts>
  <fonts count="9" x14ac:knownFonts="1">
    <font>
      <sz val="11"/>
      <color theme="1"/>
      <name val="Aptos Narrow"/>
      <family val="2"/>
      <scheme val="minor"/>
    </font>
    <font>
      <sz val="10"/>
      <color theme="1"/>
      <name val="Arial"/>
      <family val="2"/>
    </font>
    <font>
      <b/>
      <sz val="10"/>
      <color theme="1"/>
      <name val="Arial"/>
      <family val="2"/>
    </font>
    <font>
      <u/>
      <sz val="11"/>
      <color theme="10"/>
      <name val="Aptos Narrow"/>
      <family val="2"/>
      <scheme val="minor"/>
    </font>
    <font>
      <u/>
      <sz val="10"/>
      <color theme="10"/>
      <name val="Arial"/>
      <family val="2"/>
    </font>
    <font>
      <sz val="9"/>
      <color indexed="81"/>
      <name val="Tahoma"/>
      <family val="2"/>
    </font>
    <font>
      <b/>
      <sz val="9"/>
      <color indexed="81"/>
      <name val="Tahoma"/>
      <family val="2"/>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3" fontId="2" fillId="0" borderId="0" xfId="0" applyNumberFormat="1" applyFont="1"/>
    <xf numFmtId="3" fontId="1" fillId="0" borderId="0" xfId="0" applyNumberFormat="1" applyFont="1"/>
    <xf numFmtId="9" fontId="1" fillId="0" borderId="0" xfId="0" applyNumberFormat="1" applyFont="1"/>
    <xf numFmtId="164" fontId="1" fillId="0" borderId="0" xfId="0" applyNumberFormat="1" applyFont="1"/>
    <xf numFmtId="165" fontId="1" fillId="0" borderId="0" xfId="0" applyNumberFormat="1" applyFont="1"/>
    <xf numFmtId="10" fontId="1" fillId="0" borderId="0" xfId="0" applyNumberFormat="1" applyFont="1"/>
    <xf numFmtId="0" fontId="1" fillId="0" borderId="0" xfId="0" applyFont="1" applyAlignment="1">
      <alignment horizontal="right"/>
    </xf>
    <xf numFmtId="3" fontId="1" fillId="0" borderId="0" xfId="0" applyNumberFormat="1" applyFont="1" applyAlignment="1">
      <alignment horizontal="right"/>
    </xf>
    <xf numFmtId="0" fontId="1" fillId="0" borderId="0" xfId="0" applyFont="1" applyAlignment="1">
      <alignment horizontal="left"/>
    </xf>
    <xf numFmtId="0" fontId="4" fillId="0" borderId="0" xfId="1" applyFont="1"/>
    <xf numFmtId="166" fontId="1" fillId="0" borderId="0" xfId="0" applyNumberFormat="1" applyFont="1" applyAlignment="1">
      <alignment horizontal="right"/>
    </xf>
    <xf numFmtId="167" fontId="1" fillId="0" borderId="0" xfId="0" applyNumberFormat="1" applyFont="1"/>
    <xf numFmtId="3" fontId="8" fillId="0" borderId="0" xfId="0" applyNumberFormat="1" applyFont="1"/>
    <xf numFmtId="3" fontId="7" fillId="0" borderId="0" xfId="0" applyNumberFormat="1"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 Breakdown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model!$B$2</c:f>
              <c:strCache>
                <c:ptCount val="1"/>
                <c:pt idx="0">
                  <c:v>Sales</c:v>
                </c:pt>
              </c:strCache>
            </c:strRef>
          </c:tx>
          <c:spPr>
            <a:solidFill>
              <a:schemeClr val="accent1"/>
            </a:solidFill>
            <a:ln>
              <a:noFill/>
            </a:ln>
            <a:effectLst/>
          </c:spPr>
          <c:invertIfNegative val="0"/>
          <c:cat>
            <c:numRef>
              <c:f>model!$T$1:$AC$1</c:f>
              <c:numCache>
                <c:formatCode>General</c:formatCode>
                <c:ptCount val="10"/>
                <c:pt idx="0">
                  <c:v>2015</c:v>
                </c:pt>
                <c:pt idx="1">
                  <c:v>2016</c:v>
                </c:pt>
                <c:pt idx="2">
                  <c:v>2017</c:v>
                </c:pt>
                <c:pt idx="3">
                  <c:v>2018</c:v>
                </c:pt>
                <c:pt idx="4">
                  <c:v>2019</c:v>
                </c:pt>
                <c:pt idx="5">
                  <c:v>2020</c:v>
                </c:pt>
                <c:pt idx="6">
                  <c:v>2021</c:v>
                </c:pt>
                <c:pt idx="7">
                  <c:v>2022</c:v>
                </c:pt>
                <c:pt idx="8">
                  <c:v>2023</c:v>
                </c:pt>
                <c:pt idx="9">
                  <c:v>2024</c:v>
                </c:pt>
              </c:numCache>
            </c:numRef>
          </c:cat>
          <c:val>
            <c:numRef>
              <c:f>model!$T$2:$AC$2</c:f>
              <c:numCache>
                <c:formatCode>#,##0</c:formatCode>
                <c:ptCount val="10"/>
                <c:pt idx="0">
                  <c:v>2443</c:v>
                </c:pt>
                <c:pt idx="1">
                  <c:v>2699</c:v>
                </c:pt>
                <c:pt idx="2">
                  <c:v>3060.6</c:v>
                </c:pt>
                <c:pt idx="3">
                  <c:v>3554.3</c:v>
                </c:pt>
                <c:pt idx="4">
                  <c:v>4040</c:v>
                </c:pt>
                <c:pt idx="5">
                  <c:v>4598</c:v>
                </c:pt>
                <c:pt idx="6">
                  <c:v>5191</c:v>
                </c:pt>
                <c:pt idx="7">
                  <c:v>5989</c:v>
                </c:pt>
                <c:pt idx="8">
                  <c:v>6831</c:v>
                </c:pt>
                <c:pt idx="9">
                  <c:v>7580</c:v>
                </c:pt>
              </c:numCache>
            </c:numRef>
          </c:val>
          <c:extLst>
            <c:ext xmlns:c16="http://schemas.microsoft.com/office/drawing/2014/chart" uri="{C3380CC4-5D6E-409C-BE32-E72D297353CC}">
              <c16:uniqueId val="{00000000-50E7-4107-8F5E-C79D7AB49039}"/>
            </c:ext>
          </c:extLst>
        </c:ser>
        <c:ser>
          <c:idx val="1"/>
          <c:order val="1"/>
          <c:tx>
            <c:strRef>
              <c:f>model!$B$3</c:f>
              <c:strCache>
                <c:ptCount val="1"/>
                <c:pt idx="0">
                  <c:v>Service</c:v>
                </c:pt>
              </c:strCache>
            </c:strRef>
          </c:tx>
          <c:spPr>
            <a:solidFill>
              <a:schemeClr val="accent2"/>
            </a:solidFill>
            <a:ln>
              <a:noFill/>
            </a:ln>
            <a:effectLst/>
          </c:spPr>
          <c:invertIfNegative val="0"/>
          <c:cat>
            <c:numRef>
              <c:f>model!$T$1:$AC$1</c:f>
              <c:numCache>
                <c:formatCode>General</c:formatCode>
                <c:ptCount val="10"/>
                <c:pt idx="0">
                  <c:v>2015</c:v>
                </c:pt>
                <c:pt idx="1">
                  <c:v>2016</c:v>
                </c:pt>
                <c:pt idx="2">
                  <c:v>2017</c:v>
                </c:pt>
                <c:pt idx="3">
                  <c:v>2018</c:v>
                </c:pt>
                <c:pt idx="4">
                  <c:v>2019</c:v>
                </c:pt>
                <c:pt idx="5">
                  <c:v>2020</c:v>
                </c:pt>
                <c:pt idx="6">
                  <c:v>2021</c:v>
                </c:pt>
                <c:pt idx="7">
                  <c:v>2022</c:v>
                </c:pt>
                <c:pt idx="8">
                  <c:v>2023</c:v>
                </c:pt>
                <c:pt idx="9">
                  <c:v>2024</c:v>
                </c:pt>
              </c:numCache>
            </c:numRef>
          </c:cat>
          <c:val>
            <c:numRef>
              <c:f>model!$T$3:$AC$3</c:f>
              <c:numCache>
                <c:formatCode>#,##0</c:formatCode>
                <c:ptCount val="10"/>
                <c:pt idx="0">
                  <c:v>1320.2</c:v>
                </c:pt>
                <c:pt idx="1">
                  <c:v>1817.8</c:v>
                </c:pt>
                <c:pt idx="2">
                  <c:v>2320.6999999999998</c:v>
                </c:pt>
                <c:pt idx="3">
                  <c:v>2877.1</c:v>
                </c:pt>
                <c:pt idx="4">
                  <c:v>3621</c:v>
                </c:pt>
                <c:pt idx="5">
                  <c:v>4466</c:v>
                </c:pt>
                <c:pt idx="6">
                  <c:v>5377</c:v>
                </c:pt>
                <c:pt idx="7">
                  <c:v>6474</c:v>
                </c:pt>
                <c:pt idx="8">
                  <c:v>7369</c:v>
                </c:pt>
                <c:pt idx="9">
                  <c:v>8245</c:v>
                </c:pt>
              </c:numCache>
            </c:numRef>
          </c:val>
          <c:extLst>
            <c:ext xmlns:c16="http://schemas.microsoft.com/office/drawing/2014/chart" uri="{C3380CC4-5D6E-409C-BE32-E72D297353CC}">
              <c16:uniqueId val="{00000001-50E7-4107-8F5E-C79D7AB49039}"/>
            </c:ext>
          </c:extLst>
        </c:ser>
        <c:ser>
          <c:idx val="2"/>
          <c:order val="2"/>
          <c:tx>
            <c:strRef>
              <c:f>model!$B$4</c:f>
              <c:strCache>
                <c:ptCount val="1"/>
                <c:pt idx="0">
                  <c:v>Platform</c:v>
                </c:pt>
              </c:strCache>
            </c:strRef>
          </c:tx>
          <c:spPr>
            <a:solidFill>
              <a:schemeClr val="accent3"/>
            </a:solidFill>
            <a:ln>
              <a:noFill/>
            </a:ln>
            <a:effectLst/>
          </c:spPr>
          <c:invertIfNegative val="0"/>
          <c:cat>
            <c:numRef>
              <c:f>model!$T$1:$AC$1</c:f>
              <c:numCache>
                <c:formatCode>General</c:formatCode>
                <c:ptCount val="10"/>
                <c:pt idx="0">
                  <c:v>2015</c:v>
                </c:pt>
                <c:pt idx="1">
                  <c:v>2016</c:v>
                </c:pt>
                <c:pt idx="2">
                  <c:v>2017</c:v>
                </c:pt>
                <c:pt idx="3">
                  <c:v>2018</c:v>
                </c:pt>
                <c:pt idx="4">
                  <c:v>2019</c:v>
                </c:pt>
                <c:pt idx="5">
                  <c:v>2020</c:v>
                </c:pt>
                <c:pt idx="6">
                  <c:v>2021</c:v>
                </c:pt>
                <c:pt idx="7">
                  <c:v>2022</c:v>
                </c:pt>
                <c:pt idx="8">
                  <c:v>2023</c:v>
                </c:pt>
                <c:pt idx="9">
                  <c:v>2024</c:v>
                </c:pt>
              </c:numCache>
            </c:numRef>
          </c:cat>
          <c:val>
            <c:numRef>
              <c:f>model!$T$4:$AC$4</c:f>
              <c:numCache>
                <c:formatCode>#,##0</c:formatCode>
                <c:ptCount val="10"/>
                <c:pt idx="0">
                  <c:v>745.3</c:v>
                </c:pt>
                <c:pt idx="1">
                  <c:v>1034.7</c:v>
                </c:pt>
                <c:pt idx="2">
                  <c:v>1441.6</c:v>
                </c:pt>
                <c:pt idx="3">
                  <c:v>1929.2</c:v>
                </c:pt>
                <c:pt idx="4">
                  <c:v>2854</c:v>
                </c:pt>
                <c:pt idx="5">
                  <c:v>4473</c:v>
                </c:pt>
                <c:pt idx="6">
                  <c:v>3324</c:v>
                </c:pt>
                <c:pt idx="7">
                  <c:v>4509</c:v>
                </c:pt>
                <c:pt idx="8">
                  <c:v>5967</c:v>
                </c:pt>
                <c:pt idx="9">
                  <c:v>6611</c:v>
                </c:pt>
              </c:numCache>
            </c:numRef>
          </c:val>
          <c:extLst>
            <c:ext xmlns:c16="http://schemas.microsoft.com/office/drawing/2014/chart" uri="{C3380CC4-5D6E-409C-BE32-E72D297353CC}">
              <c16:uniqueId val="{00000002-50E7-4107-8F5E-C79D7AB49039}"/>
            </c:ext>
          </c:extLst>
        </c:ser>
        <c:ser>
          <c:idx val="3"/>
          <c:order val="3"/>
          <c:tx>
            <c:strRef>
              <c:f>model!$B$5</c:f>
              <c:strCache>
                <c:ptCount val="1"/>
                <c:pt idx="0">
                  <c:v>Marketing &amp; Commerce</c:v>
                </c:pt>
              </c:strCache>
            </c:strRef>
          </c:tx>
          <c:spPr>
            <a:solidFill>
              <a:schemeClr val="accent4"/>
            </a:solidFill>
            <a:ln>
              <a:noFill/>
            </a:ln>
            <a:effectLst/>
          </c:spPr>
          <c:invertIfNegative val="0"/>
          <c:cat>
            <c:numRef>
              <c:f>model!$T$1:$AC$1</c:f>
              <c:numCache>
                <c:formatCode>General</c:formatCode>
                <c:ptCount val="10"/>
                <c:pt idx="0">
                  <c:v>2015</c:v>
                </c:pt>
                <c:pt idx="1">
                  <c:v>2016</c:v>
                </c:pt>
                <c:pt idx="2">
                  <c:v>2017</c:v>
                </c:pt>
                <c:pt idx="3">
                  <c:v>2018</c:v>
                </c:pt>
                <c:pt idx="4">
                  <c:v>2019</c:v>
                </c:pt>
                <c:pt idx="5">
                  <c:v>2020</c:v>
                </c:pt>
                <c:pt idx="6">
                  <c:v>2021</c:v>
                </c:pt>
                <c:pt idx="7">
                  <c:v>2022</c:v>
                </c:pt>
                <c:pt idx="8">
                  <c:v>2023</c:v>
                </c:pt>
                <c:pt idx="9">
                  <c:v>2024</c:v>
                </c:pt>
              </c:numCache>
            </c:numRef>
          </c:cat>
          <c:val>
            <c:numRef>
              <c:f>model!$T$5:$AC$5</c:f>
              <c:numCache>
                <c:formatCode>#,##0</c:formatCode>
                <c:ptCount val="10"/>
                <c:pt idx="0">
                  <c:v>505.3</c:v>
                </c:pt>
                <c:pt idx="1">
                  <c:v>654.1</c:v>
                </c:pt>
                <c:pt idx="2">
                  <c:v>933.3</c:v>
                </c:pt>
                <c:pt idx="3">
                  <c:v>1349.9</c:v>
                </c:pt>
                <c:pt idx="4">
                  <c:v>1898</c:v>
                </c:pt>
                <c:pt idx="5">
                  <c:v>2506</c:v>
                </c:pt>
                <c:pt idx="6">
                  <c:v>3133</c:v>
                </c:pt>
                <c:pt idx="7">
                  <c:v>3902</c:v>
                </c:pt>
                <c:pt idx="8">
                  <c:v>4516</c:v>
                </c:pt>
                <c:pt idx="9">
                  <c:v>4912</c:v>
                </c:pt>
              </c:numCache>
            </c:numRef>
          </c:val>
          <c:extLst>
            <c:ext xmlns:c16="http://schemas.microsoft.com/office/drawing/2014/chart" uri="{C3380CC4-5D6E-409C-BE32-E72D297353CC}">
              <c16:uniqueId val="{00000003-50E7-4107-8F5E-C79D7AB49039}"/>
            </c:ext>
          </c:extLst>
        </c:ser>
        <c:ser>
          <c:idx val="4"/>
          <c:order val="4"/>
          <c:tx>
            <c:strRef>
              <c:f>model!$B$6</c:f>
              <c:strCache>
                <c:ptCount val="1"/>
                <c:pt idx="0">
                  <c:v>Integration &amp; Analytics</c:v>
                </c:pt>
              </c:strCache>
            </c:strRef>
          </c:tx>
          <c:spPr>
            <a:solidFill>
              <a:schemeClr val="accent5"/>
            </a:solidFill>
            <a:ln>
              <a:noFill/>
            </a:ln>
            <a:effectLst/>
          </c:spPr>
          <c:invertIfNegative val="0"/>
          <c:cat>
            <c:numRef>
              <c:f>model!$T$1:$AC$1</c:f>
              <c:numCache>
                <c:formatCode>General</c:formatCode>
                <c:ptCount val="10"/>
                <c:pt idx="0">
                  <c:v>2015</c:v>
                </c:pt>
                <c:pt idx="1">
                  <c:v>2016</c:v>
                </c:pt>
                <c:pt idx="2">
                  <c:v>2017</c:v>
                </c:pt>
                <c:pt idx="3">
                  <c:v>2018</c:v>
                </c:pt>
                <c:pt idx="4">
                  <c:v>2019</c:v>
                </c:pt>
                <c:pt idx="5">
                  <c:v>2020</c:v>
                </c:pt>
                <c:pt idx="6">
                  <c:v>2021</c:v>
                </c:pt>
                <c:pt idx="7">
                  <c:v>2022</c:v>
                </c:pt>
                <c:pt idx="8">
                  <c:v>2023</c:v>
                </c:pt>
                <c:pt idx="9">
                  <c:v>2024</c:v>
                </c:pt>
              </c:numCache>
            </c:numRef>
          </c:cat>
          <c:val>
            <c:numRef>
              <c:f>model!$T$6:$AC$6</c:f>
              <c:numCache>
                <c:formatCode>#,##0</c:formatCode>
                <c:ptCount val="10"/>
                <c:pt idx="6">
                  <c:v>2951</c:v>
                </c:pt>
                <c:pt idx="7">
                  <c:v>3783</c:v>
                </c:pt>
                <c:pt idx="8">
                  <c:v>4338</c:v>
                </c:pt>
                <c:pt idx="9">
                  <c:v>5189</c:v>
                </c:pt>
              </c:numCache>
            </c:numRef>
          </c:val>
          <c:extLst>
            <c:ext xmlns:c16="http://schemas.microsoft.com/office/drawing/2014/chart" uri="{C3380CC4-5D6E-409C-BE32-E72D297353CC}">
              <c16:uniqueId val="{00000004-50E7-4107-8F5E-C79D7AB49039}"/>
            </c:ext>
          </c:extLst>
        </c:ser>
        <c:dLbls>
          <c:showLegendKey val="0"/>
          <c:showVal val="0"/>
          <c:showCatName val="0"/>
          <c:showSerName val="0"/>
          <c:showPercent val="0"/>
          <c:showBubbleSize val="0"/>
        </c:dLbls>
        <c:gapWidth val="150"/>
        <c:overlap val="100"/>
        <c:axId val="60408927"/>
        <c:axId val="60410367"/>
      </c:barChart>
      <c:catAx>
        <c:axId val="60408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10367"/>
        <c:crosses val="autoZero"/>
        <c:auto val="1"/>
        <c:lblAlgn val="ctr"/>
        <c:lblOffset val="100"/>
        <c:noMultiLvlLbl val="0"/>
      </c:catAx>
      <c:valAx>
        <c:axId val="604103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089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600074</xdr:colOff>
      <xdr:row>0</xdr:row>
      <xdr:rowOff>152399</xdr:rowOff>
    </xdr:from>
    <xdr:to>
      <xdr:col>20</xdr:col>
      <xdr:colOff>95249</xdr:colOff>
      <xdr:row>20</xdr:row>
      <xdr:rowOff>95249</xdr:rowOff>
    </xdr:to>
    <xdr:graphicFrame macro="">
      <xdr:nvGraphicFramePr>
        <xdr:cNvPr id="2" name="Chart 1">
          <a:extLst>
            <a:ext uri="{FF2B5EF4-FFF2-40B4-BE49-F238E27FC236}">
              <a16:creationId xmlns:a16="http://schemas.microsoft.com/office/drawing/2014/main" id="{4CDCF17F-9765-424E-8624-290755C04C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29</xdr:col>
      <xdr:colOff>0</xdr:colOff>
      <xdr:row>0</xdr:row>
      <xdr:rowOff>7620</xdr:rowOff>
    </xdr:from>
    <xdr:to>
      <xdr:col>29</xdr:col>
      <xdr:colOff>28575</xdr:colOff>
      <xdr:row>104</xdr:row>
      <xdr:rowOff>19050</xdr:rowOff>
    </xdr:to>
    <xdr:cxnSp macro="">
      <xdr:nvCxnSpPr>
        <xdr:cNvPr id="3" name="Straight Connector 2">
          <a:extLst>
            <a:ext uri="{FF2B5EF4-FFF2-40B4-BE49-F238E27FC236}">
              <a16:creationId xmlns:a16="http://schemas.microsoft.com/office/drawing/2014/main" id="{C800ECE9-0671-011F-8CEC-0116DF5E3FEA}"/>
            </a:ext>
          </a:extLst>
        </xdr:cNvPr>
        <xdr:cNvCxnSpPr/>
      </xdr:nvCxnSpPr>
      <xdr:spPr>
        <a:xfrm>
          <a:off x="14592300" y="7620"/>
          <a:ext cx="28575" cy="1655635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8163</xdr:colOff>
      <xdr:row>0</xdr:row>
      <xdr:rowOff>0</xdr:rowOff>
    </xdr:from>
    <xdr:to>
      <xdr:col>10</xdr:col>
      <xdr:colOff>8163</xdr:colOff>
      <xdr:row>105</xdr:row>
      <xdr:rowOff>66675</xdr:rowOff>
    </xdr:to>
    <xdr:cxnSp macro="">
      <xdr:nvCxnSpPr>
        <xdr:cNvPr id="4" name="Straight Connector 3">
          <a:extLst>
            <a:ext uri="{FF2B5EF4-FFF2-40B4-BE49-F238E27FC236}">
              <a16:creationId xmlns:a16="http://schemas.microsoft.com/office/drawing/2014/main" id="{1E36CA3D-CC48-FFD7-C6C1-53FFAEE19BA2}"/>
            </a:ext>
          </a:extLst>
        </xdr:cNvPr>
        <xdr:cNvCxnSpPr/>
      </xdr:nvCxnSpPr>
      <xdr:spPr>
        <a:xfrm>
          <a:off x="8063592" y="0"/>
          <a:ext cx="0" cy="1721167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https://www.bing.com/financeapi/forcetrigger?t=a1qc1h&amp;q=XNYS%3aCRM&amp;form=skydnc</v>
    <v>Learn more on Bing</v>
  </rv>
  <rv s="1">
    <v>en-GB</v>
    <v>a1qc1h</v>
    <v>268435456</v>
    <v>1</v>
    <v>Powered by Refinitiv</v>
    <v>0</v>
    <v>SALESFORCE, INC. (XNYS:CRM)</v>
    <v>2</v>
    <v>3</v>
    <v>Finance</v>
    <v>4</v>
    <v>369</v>
    <v>212</v>
    <v>1.4225000000000001</v>
    <v>-16.309999999999999</v>
    <v>-6.0065E-2</v>
    <v>USD</v>
    <v>Salesforce, Inc. is a provider of customer relationship management (CRM) technology. The Company helps organizations of any size reimagine their business for the world of artificial intelligence (AI). With Agentforce, its platform, organizations can bring humans together with agents to drive customer success powered by AI, data, and action. With the Salesforce platform, the Company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AgentExchange is the marketplace and community for Agentforce. AgentExchange includes more than 200 partners.</v>
    <v>76453</v>
    <v>New York Stock Exchange</v>
    <v>XNYS</v>
    <v>XNYS</v>
    <v>SALESFORCE TOWER, 415 MISSION STREET 3RD FL, SAN FRANCISCO, CA, 94105 US</v>
    <v>262.57</v>
    <v>Software &amp; IT Services</v>
    <v>Stock</v>
    <v>45750.999930404687</v>
    <v>0</v>
    <v>254.45</v>
    <v>245276030000</v>
    <v>SALESFORCE, INC.</v>
    <v>SALESFORCE, INC.</v>
    <v>260.14</v>
    <v>40.090200000000003</v>
    <v>271.54000000000002</v>
    <v>255.23</v>
    <v>961000000</v>
    <v>CRM</v>
    <v>SALESFORCE, INC. (XNYS:CRM)</v>
    <v>16745</v>
    <v>7354675</v>
    <v>1999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30E72-74A8-4D4D-9C47-01E78E4B9B42}">
  <dimension ref="A1:E18"/>
  <sheetViews>
    <sheetView showGridLines="0" zoomScale="85" zoomScaleNormal="85" workbookViewId="0">
      <selection activeCell="E12" sqref="E12"/>
    </sheetView>
  </sheetViews>
  <sheetFormatPr defaultColWidth="9.109375" defaultRowHeight="13.2" x14ac:dyDescent="0.25"/>
  <cols>
    <col min="1" max="1" width="9.109375" style="1"/>
    <col min="2" max="2" width="31.77734375" style="1" bestFit="1" customWidth="1"/>
    <col min="3" max="3" width="9.109375" style="1"/>
    <col min="4" max="4" width="10.88671875" style="1" bestFit="1" customWidth="1"/>
    <col min="5" max="16384" width="9.109375" style="1"/>
  </cols>
  <sheetData>
    <row r="1" spans="1:5" x14ac:dyDescent="0.25">
      <c r="A1" s="1" t="s">
        <v>0</v>
      </c>
      <c r="B1" s="9" t="e" vm="1">
        <v>#VALUE!</v>
      </c>
      <c r="D1" s="2" t="s">
        <v>104</v>
      </c>
      <c r="E1" s="11">
        <v>1999</v>
      </c>
    </row>
    <row r="2" spans="1:5" x14ac:dyDescent="0.25">
      <c r="A2" s="1" t="s">
        <v>1</v>
      </c>
      <c r="B2" s="13">
        <v>293</v>
      </c>
      <c r="D2" s="2" t="s">
        <v>105</v>
      </c>
      <c r="E2" s="11" t="s">
        <v>110</v>
      </c>
    </row>
    <row r="3" spans="1:5" x14ac:dyDescent="0.25">
      <c r="A3" s="1" t="s">
        <v>2</v>
      </c>
      <c r="B3" s="9">
        <v>956</v>
      </c>
      <c r="D3" s="2" t="s">
        <v>106</v>
      </c>
      <c r="E3" s="11" t="s">
        <v>123</v>
      </c>
    </row>
    <row r="4" spans="1:5" x14ac:dyDescent="0.25">
      <c r="A4" s="1" t="s">
        <v>3</v>
      </c>
      <c r="B4" s="10">
        <f>+B2*B3</f>
        <v>280108</v>
      </c>
      <c r="D4" s="2" t="s">
        <v>107</v>
      </c>
      <c r="E4" s="11" t="s">
        <v>111</v>
      </c>
    </row>
    <row r="5" spans="1:5" x14ac:dyDescent="0.25">
      <c r="A5" s="1" t="s">
        <v>4</v>
      </c>
      <c r="B5" s="10">
        <f>+model!I41+model!I42+model!I49</f>
        <v>17602</v>
      </c>
      <c r="C5" s="1" t="s">
        <v>16</v>
      </c>
      <c r="D5" s="2" t="s">
        <v>108</v>
      </c>
      <c r="E5" s="11" t="s">
        <v>124</v>
      </c>
    </row>
    <row r="6" spans="1:5" x14ac:dyDescent="0.25">
      <c r="A6" s="1" t="s">
        <v>5</v>
      </c>
      <c r="B6" s="10">
        <f>+model!I58+model!I59</f>
        <v>8432</v>
      </c>
      <c r="C6" s="1" t="s">
        <v>16</v>
      </c>
      <c r="D6" s="2" t="s">
        <v>109</v>
      </c>
      <c r="E6" s="11" t="s">
        <v>112</v>
      </c>
    </row>
    <row r="7" spans="1:5" x14ac:dyDescent="0.25">
      <c r="A7" s="1" t="s">
        <v>6</v>
      </c>
      <c r="B7" s="10">
        <f>B4-B5+B6</f>
        <v>270938</v>
      </c>
      <c r="D7" s="2" t="s">
        <v>113</v>
      </c>
      <c r="E7" s="11" t="s">
        <v>114</v>
      </c>
    </row>
    <row r="9" spans="1:5" x14ac:dyDescent="0.25">
      <c r="A9" s="2" t="s">
        <v>115</v>
      </c>
    </row>
    <row r="10" spans="1:5" x14ac:dyDescent="0.25">
      <c r="A10" s="1" t="s">
        <v>116</v>
      </c>
    </row>
    <row r="11" spans="1:5" x14ac:dyDescent="0.25">
      <c r="A11" s="1" t="s">
        <v>117</v>
      </c>
    </row>
    <row r="12" spans="1:5" x14ac:dyDescent="0.25">
      <c r="A12" s="1" t="s">
        <v>118</v>
      </c>
    </row>
    <row r="13" spans="1:5" x14ac:dyDescent="0.25">
      <c r="A13" s="1" t="s">
        <v>119</v>
      </c>
    </row>
    <row r="15" spans="1:5" x14ac:dyDescent="0.25">
      <c r="A15" s="2" t="s">
        <v>120</v>
      </c>
    </row>
    <row r="16" spans="1:5" x14ac:dyDescent="0.25">
      <c r="A16" s="1" t="s">
        <v>112</v>
      </c>
    </row>
    <row r="17" spans="1:1" x14ac:dyDescent="0.25">
      <c r="A17" s="1" t="s">
        <v>122</v>
      </c>
    </row>
    <row r="18" spans="1:1" x14ac:dyDescent="0.25">
      <c r="A18" s="1" t="s">
        <v>121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00AB6-AC4D-4761-93D9-3089D9F17FF7}">
  <dimension ref="A1:BT100"/>
  <sheetViews>
    <sheetView tabSelected="1" zoomScaleNormal="100" workbookViewId="0">
      <pane xSplit="2" ySplit="1" topLeftCell="G82" activePane="bottomRight" state="frozen"/>
      <selection pane="topRight" activeCell="B1" sqref="B1"/>
      <selection pane="bottomLeft" activeCell="A2" sqref="A2"/>
      <selection pane="bottomRight" activeCell="M35" sqref="M35"/>
    </sheetView>
  </sheetViews>
  <sheetFormatPr defaultColWidth="9.109375" defaultRowHeight="13.2" x14ac:dyDescent="0.25"/>
  <cols>
    <col min="1" max="1" width="5.5546875" style="1" bestFit="1" customWidth="1"/>
    <col min="2" max="2" width="37" style="1" bestFit="1" customWidth="1"/>
    <col min="3" max="10" width="9.33203125" style="1" bestFit="1" customWidth="1"/>
    <col min="11" max="19" width="9.109375" style="1"/>
    <col min="20" max="37" width="9.33203125" style="1" bestFit="1" customWidth="1"/>
    <col min="38" max="38" width="13.88671875" style="1" bestFit="1" customWidth="1"/>
    <col min="39" max="39" width="13.109375" style="1" bestFit="1" customWidth="1"/>
    <col min="40" max="72" width="9.33203125" style="1" bestFit="1" customWidth="1"/>
    <col min="73" max="16384" width="9.109375" style="1"/>
  </cols>
  <sheetData>
    <row r="1" spans="1:52" x14ac:dyDescent="0.25">
      <c r="A1" s="12" t="s">
        <v>51</v>
      </c>
      <c r="C1" s="2" t="s">
        <v>10</v>
      </c>
      <c r="D1" s="2" t="s">
        <v>11</v>
      </c>
      <c r="E1" s="2" t="s">
        <v>12</v>
      </c>
      <c r="F1" s="2" t="s">
        <v>13</v>
      </c>
      <c r="G1" s="2" t="s">
        <v>14</v>
      </c>
      <c r="H1" s="2" t="s">
        <v>15</v>
      </c>
      <c r="I1" s="2" t="s">
        <v>16</v>
      </c>
      <c r="J1" s="2" t="s">
        <v>17</v>
      </c>
      <c r="M1" s="2">
        <f t="shared" ref="M1:R1" si="0">+N1-1</f>
        <v>2008</v>
      </c>
      <c r="N1" s="2">
        <f t="shared" si="0"/>
        <v>2009</v>
      </c>
      <c r="O1" s="2">
        <f t="shared" si="0"/>
        <v>2010</v>
      </c>
      <c r="P1" s="2">
        <f t="shared" si="0"/>
        <v>2011</v>
      </c>
      <c r="Q1" s="2">
        <f t="shared" si="0"/>
        <v>2012</v>
      </c>
      <c r="R1" s="2">
        <f t="shared" si="0"/>
        <v>2013</v>
      </c>
      <c r="S1" s="2">
        <f>+T1-1</f>
        <v>2014</v>
      </c>
      <c r="T1" s="2">
        <v>2015</v>
      </c>
      <c r="U1" s="2">
        <v>2016</v>
      </c>
      <c r="V1" s="2">
        <v>2017</v>
      </c>
      <c r="W1" s="2">
        <v>2018</v>
      </c>
      <c r="X1" s="2">
        <v>2019</v>
      </c>
      <c r="Y1" s="2">
        <v>2020</v>
      </c>
      <c r="Z1" s="2">
        <v>2021</v>
      </c>
      <c r="AA1" s="2">
        <v>2022</v>
      </c>
      <c r="AB1" s="2">
        <f>+AA1+1</f>
        <v>2023</v>
      </c>
      <c r="AC1" s="2">
        <f t="shared" ref="AC1:AI1" si="1">+AB1+1</f>
        <v>2024</v>
      </c>
      <c r="AD1" s="2">
        <f t="shared" si="1"/>
        <v>2025</v>
      </c>
      <c r="AE1" s="2">
        <f t="shared" si="1"/>
        <v>2026</v>
      </c>
      <c r="AF1" s="2">
        <f t="shared" si="1"/>
        <v>2027</v>
      </c>
      <c r="AG1" s="2">
        <f t="shared" si="1"/>
        <v>2028</v>
      </c>
      <c r="AH1" s="2">
        <f t="shared" si="1"/>
        <v>2029</v>
      </c>
      <c r="AI1" s="2">
        <f t="shared" si="1"/>
        <v>2030</v>
      </c>
      <c r="AJ1" s="2">
        <v>2031</v>
      </c>
    </row>
    <row r="2" spans="1:52" x14ac:dyDescent="0.25">
      <c r="B2" s="1" t="s">
        <v>40</v>
      </c>
      <c r="C2" s="4">
        <v>1810</v>
      </c>
      <c r="D2" s="4">
        <v>1895</v>
      </c>
      <c r="E2" s="4">
        <v>1906</v>
      </c>
      <c r="F2" s="4">
        <v>1969</v>
      </c>
      <c r="G2" s="4">
        <v>1998</v>
      </c>
      <c r="H2" s="4">
        <v>2071</v>
      </c>
      <c r="I2" s="4">
        <v>2119</v>
      </c>
      <c r="J2" s="4">
        <v>2134</v>
      </c>
      <c r="K2" s="4"/>
      <c r="L2" s="4"/>
      <c r="M2" s="4"/>
      <c r="N2" s="2"/>
      <c r="O2" s="4"/>
      <c r="P2" s="4"/>
      <c r="Q2" s="4"/>
      <c r="R2" s="4"/>
      <c r="S2" s="4"/>
      <c r="T2" s="4">
        <v>2443</v>
      </c>
      <c r="U2" s="4">
        <v>2699</v>
      </c>
      <c r="V2" s="4">
        <v>3060.6</v>
      </c>
      <c r="W2" s="4">
        <v>3554.3</v>
      </c>
      <c r="X2" s="4">
        <v>4040</v>
      </c>
      <c r="Y2" s="4">
        <v>4598</v>
      </c>
      <c r="Z2" s="4">
        <v>5191</v>
      </c>
      <c r="AA2" s="4">
        <v>5989</v>
      </c>
      <c r="AB2" s="4">
        <v>6831</v>
      </c>
      <c r="AC2" s="4">
        <v>7580</v>
      </c>
      <c r="AD2" s="4">
        <f>+AC2*1.08</f>
        <v>8186.4000000000005</v>
      </c>
      <c r="AE2" s="4">
        <f t="shared" ref="AE2" si="2">+AD2*1.12</f>
        <v>9168.7680000000018</v>
      </c>
      <c r="AF2" s="4">
        <f t="shared" ref="AF2:AJ2" si="3">+AE2*1.1</f>
        <v>10085.644800000004</v>
      </c>
      <c r="AG2" s="4">
        <f t="shared" si="3"/>
        <v>11094.209280000005</v>
      </c>
      <c r="AH2" s="4">
        <f t="shared" si="3"/>
        <v>12203.630208000006</v>
      </c>
      <c r="AI2" s="4">
        <f t="shared" si="3"/>
        <v>13423.993228800007</v>
      </c>
      <c r="AJ2" s="4">
        <f t="shared" si="3"/>
        <v>14766.39255168001</v>
      </c>
    </row>
    <row r="3" spans="1:52" x14ac:dyDescent="0.25">
      <c r="B3" s="1" t="s">
        <v>41</v>
      </c>
      <c r="C3" s="4">
        <v>1964</v>
      </c>
      <c r="D3" s="4">
        <v>2049</v>
      </c>
      <c r="E3" s="4">
        <v>2074</v>
      </c>
      <c r="F3" s="4">
        <v>2158</v>
      </c>
      <c r="G3" s="4">
        <v>2182</v>
      </c>
      <c r="H3" s="4">
        <v>2257</v>
      </c>
      <c r="I3" s="4">
        <v>2288</v>
      </c>
      <c r="J3" s="4">
        <v>2327</v>
      </c>
      <c r="K3" s="4"/>
      <c r="L3" s="4"/>
      <c r="M3" s="4"/>
      <c r="N3" s="4"/>
      <c r="O3" s="4"/>
      <c r="P3" s="4"/>
      <c r="Q3" s="4"/>
      <c r="R3" s="4"/>
      <c r="S3" s="4"/>
      <c r="T3" s="4">
        <v>1320.2</v>
      </c>
      <c r="U3" s="4">
        <v>1817.8</v>
      </c>
      <c r="V3" s="4">
        <v>2320.6999999999998</v>
      </c>
      <c r="W3" s="4">
        <v>2877.1</v>
      </c>
      <c r="X3" s="4">
        <v>3621</v>
      </c>
      <c r="Y3" s="4">
        <v>4466</v>
      </c>
      <c r="Z3" s="4">
        <v>5377</v>
      </c>
      <c r="AA3" s="4">
        <v>6474</v>
      </c>
      <c r="AB3" s="4">
        <v>7369</v>
      </c>
      <c r="AC3" s="4">
        <v>8245</v>
      </c>
      <c r="AD3" s="4">
        <f>+AC3*1.09</f>
        <v>8987.0500000000011</v>
      </c>
      <c r="AE3" s="4">
        <f t="shared" ref="AE3" si="4">+AD3*1.11</f>
        <v>9975.6255000000019</v>
      </c>
      <c r="AF3" s="4">
        <f t="shared" ref="AF3:AJ3" si="5">+AE3*1.1</f>
        <v>10973.188050000002</v>
      </c>
      <c r="AG3" s="4">
        <f t="shared" si="5"/>
        <v>12070.506855000003</v>
      </c>
      <c r="AH3" s="4">
        <f t="shared" si="5"/>
        <v>13277.557540500005</v>
      </c>
      <c r="AI3" s="4">
        <f t="shared" si="5"/>
        <v>14605.313294550007</v>
      </c>
      <c r="AJ3" s="4">
        <f t="shared" si="5"/>
        <v>16065.844624005009</v>
      </c>
    </row>
    <row r="4" spans="1:52" x14ac:dyDescent="0.25">
      <c r="B4" s="1" t="s">
        <v>42</v>
      </c>
      <c r="C4" s="4">
        <v>1567</v>
      </c>
      <c r="D4" s="4">
        <v>1638</v>
      </c>
      <c r="E4" s="4">
        <v>1686</v>
      </c>
      <c r="F4" s="4">
        <v>1720</v>
      </c>
      <c r="G4" s="4">
        <v>1718</v>
      </c>
      <c r="H4" s="4">
        <v>1786</v>
      </c>
      <c r="I4" s="4">
        <v>1825</v>
      </c>
      <c r="J4" s="4">
        <v>1918</v>
      </c>
      <c r="K4" s="4"/>
      <c r="L4" s="4"/>
      <c r="M4" s="4"/>
      <c r="N4" s="4"/>
      <c r="O4" s="4"/>
      <c r="P4" s="4"/>
      <c r="Q4" s="4"/>
      <c r="R4" s="4"/>
      <c r="S4" s="4"/>
      <c r="T4" s="4">
        <v>745.3</v>
      </c>
      <c r="U4" s="4">
        <v>1034.7</v>
      </c>
      <c r="V4" s="4">
        <v>1441.6</v>
      </c>
      <c r="W4" s="4">
        <v>1929.2</v>
      </c>
      <c r="X4" s="4">
        <v>2854</v>
      </c>
      <c r="Y4" s="4">
        <v>4473</v>
      </c>
      <c r="Z4" s="4">
        <v>3324</v>
      </c>
      <c r="AA4" s="4">
        <v>4509</v>
      </c>
      <c r="AB4" s="4">
        <v>5967</v>
      </c>
      <c r="AC4" s="4">
        <v>6611</v>
      </c>
      <c r="AD4" s="4">
        <f>+AC4*1.09</f>
        <v>7205.9900000000007</v>
      </c>
      <c r="AE4" s="4">
        <f t="shared" ref="AE4:AJ4" si="6">+AD4*1.1</f>
        <v>7926.5890000000018</v>
      </c>
      <c r="AF4" s="4">
        <f t="shared" si="6"/>
        <v>8719.2479000000021</v>
      </c>
      <c r="AG4" s="4">
        <f t="shared" si="6"/>
        <v>9591.1726900000031</v>
      </c>
      <c r="AH4" s="4">
        <f t="shared" si="6"/>
        <v>10550.289959000003</v>
      </c>
      <c r="AI4" s="4">
        <f t="shared" si="6"/>
        <v>11605.318954900005</v>
      </c>
      <c r="AJ4" s="4">
        <f t="shared" si="6"/>
        <v>12765.850850390007</v>
      </c>
    </row>
    <row r="5" spans="1:52" x14ac:dyDescent="0.25">
      <c r="B5" s="1" t="s">
        <v>43</v>
      </c>
      <c r="C5" s="4">
        <v>1170</v>
      </c>
      <c r="D5" s="4">
        <v>1238</v>
      </c>
      <c r="E5" s="4">
        <v>1230</v>
      </c>
      <c r="F5" s="4">
        <v>1274</v>
      </c>
      <c r="G5" s="4">
        <v>1282</v>
      </c>
      <c r="H5" s="4">
        <v>1308</v>
      </c>
      <c r="I5" s="4">
        <v>1334</v>
      </c>
      <c r="J5" s="4">
        <v>1357</v>
      </c>
      <c r="K5" s="4"/>
      <c r="L5" s="4"/>
      <c r="M5" s="4"/>
      <c r="N5" s="4"/>
      <c r="O5" s="4"/>
      <c r="P5" s="4"/>
      <c r="Q5" s="4"/>
      <c r="R5" s="4"/>
      <c r="S5" s="4"/>
      <c r="T5" s="4">
        <v>505.3</v>
      </c>
      <c r="U5" s="4">
        <v>654.1</v>
      </c>
      <c r="V5" s="4">
        <v>933.3</v>
      </c>
      <c r="W5" s="4">
        <v>1349.9</v>
      </c>
      <c r="X5" s="4">
        <v>1898</v>
      </c>
      <c r="Y5" s="4">
        <v>2506</v>
      </c>
      <c r="Z5" s="4">
        <v>3133</v>
      </c>
      <c r="AA5" s="4">
        <v>3902</v>
      </c>
      <c r="AB5" s="4">
        <v>4516</v>
      </c>
      <c r="AC5" s="4">
        <v>4912</v>
      </c>
      <c r="AD5" s="4">
        <f>+AC5*1.09</f>
        <v>5354.0800000000008</v>
      </c>
      <c r="AE5" s="4">
        <f t="shared" ref="AE5:AJ5" si="7">+AD5*1.1</f>
        <v>5889.4880000000012</v>
      </c>
      <c r="AF5" s="4">
        <f t="shared" si="7"/>
        <v>6478.4368000000022</v>
      </c>
      <c r="AG5" s="4">
        <f t="shared" si="7"/>
        <v>7126.2804800000031</v>
      </c>
      <c r="AH5" s="4">
        <f t="shared" si="7"/>
        <v>7838.9085280000036</v>
      </c>
      <c r="AI5" s="4">
        <f t="shared" si="7"/>
        <v>8622.7993808000047</v>
      </c>
      <c r="AJ5" s="4">
        <f t="shared" si="7"/>
        <v>9485.0793188800053</v>
      </c>
    </row>
    <row r="6" spans="1:52" x14ac:dyDescent="0.25">
      <c r="B6" s="1" t="s">
        <v>44</v>
      </c>
      <c r="C6" s="4">
        <v>1131</v>
      </c>
      <c r="D6" s="4">
        <v>1186</v>
      </c>
      <c r="E6" s="4">
        <v>1245</v>
      </c>
      <c r="F6" s="4">
        <v>1627</v>
      </c>
      <c r="G6" s="4">
        <v>1405</v>
      </c>
      <c r="H6" s="4">
        <v>1342</v>
      </c>
      <c r="I6" s="4">
        <v>1313</v>
      </c>
      <c r="J6" s="4">
        <v>1715</v>
      </c>
      <c r="K6" s="4"/>
      <c r="L6" s="4"/>
      <c r="M6" s="4"/>
      <c r="N6" s="4"/>
      <c r="O6" s="4"/>
      <c r="P6" s="4"/>
      <c r="Q6" s="4"/>
      <c r="R6" s="4"/>
      <c r="S6" s="4"/>
      <c r="T6" s="4"/>
      <c r="U6" s="4"/>
      <c r="V6" s="4"/>
      <c r="W6" s="4"/>
      <c r="X6" s="4"/>
      <c r="Y6" s="4"/>
      <c r="Z6" s="4">
        <v>2951</v>
      </c>
      <c r="AA6" s="4">
        <v>3783</v>
      </c>
      <c r="AB6" s="4">
        <v>4338</v>
      </c>
      <c r="AC6" s="4">
        <v>5189</v>
      </c>
      <c r="AD6" s="4">
        <f>+AC6*1.13</f>
        <v>5863.57</v>
      </c>
      <c r="AE6" s="4">
        <f t="shared" ref="AE6" si="8">+AD6*1.17</f>
        <v>6860.3768999999993</v>
      </c>
      <c r="AF6" s="4">
        <f>+AE6*1.13</f>
        <v>7752.2258969999984</v>
      </c>
      <c r="AG6" s="4">
        <f>+AF6*1.13</f>
        <v>8760.0152636099974</v>
      </c>
      <c r="AH6" s="4">
        <f t="shared" ref="AH6:AJ6" si="9">+AG6*1.13</f>
        <v>9898.8172478792967</v>
      </c>
      <c r="AI6" s="4">
        <f t="shared" si="9"/>
        <v>11185.663490103605</v>
      </c>
      <c r="AJ6" s="4">
        <f t="shared" si="9"/>
        <v>12639.799743817073</v>
      </c>
    </row>
    <row r="7" spans="1:52" x14ac:dyDescent="0.25">
      <c r="C7" s="3"/>
      <c r="D7" s="3"/>
      <c r="E7" s="3"/>
      <c r="F7" s="3"/>
      <c r="G7" s="3"/>
      <c r="H7" s="3"/>
      <c r="I7" s="3"/>
      <c r="J7" s="3"/>
      <c r="K7" s="4"/>
      <c r="L7" s="4"/>
      <c r="M7" s="4"/>
      <c r="N7" s="4"/>
      <c r="O7" s="4"/>
      <c r="P7" s="4"/>
      <c r="Q7" s="4"/>
      <c r="R7" s="4"/>
      <c r="S7" s="4"/>
      <c r="T7" s="3"/>
      <c r="U7" s="3"/>
      <c r="V7" s="3"/>
      <c r="W7" s="3"/>
      <c r="X7" s="3"/>
      <c r="Y7" s="3"/>
      <c r="Z7" s="3"/>
      <c r="AA7" s="3"/>
      <c r="AB7" s="3"/>
      <c r="AC7" s="3"/>
      <c r="AD7" s="3"/>
      <c r="AE7" s="3"/>
      <c r="AF7" s="3"/>
      <c r="AG7" s="3"/>
      <c r="AH7" s="3"/>
      <c r="AI7" s="3"/>
      <c r="AJ7" s="4"/>
    </row>
    <row r="8" spans="1:52" x14ac:dyDescent="0.25">
      <c r="C8" s="3"/>
      <c r="D8" s="3"/>
      <c r="E8" s="3"/>
      <c r="F8" s="3"/>
      <c r="G8" s="3"/>
      <c r="H8" s="3"/>
      <c r="I8" s="3"/>
      <c r="J8" s="3"/>
      <c r="K8" s="4"/>
      <c r="L8" s="4"/>
      <c r="M8" s="4"/>
      <c r="N8" s="4"/>
      <c r="O8" s="4"/>
      <c r="P8" s="4"/>
      <c r="Q8" s="4"/>
      <c r="R8" s="4"/>
      <c r="S8" s="4"/>
      <c r="T8" s="3"/>
      <c r="U8" s="3"/>
      <c r="V8" s="3"/>
      <c r="W8" s="3"/>
      <c r="X8" s="3"/>
      <c r="Y8" s="3"/>
      <c r="Z8" s="3"/>
      <c r="AA8" s="3"/>
      <c r="AB8" s="3"/>
      <c r="AC8" s="3"/>
      <c r="AD8" s="3"/>
      <c r="AE8" s="3"/>
      <c r="AF8" s="3"/>
      <c r="AG8" s="3"/>
      <c r="AH8" s="3"/>
      <c r="AI8" s="3"/>
      <c r="AJ8" s="4"/>
    </row>
    <row r="9" spans="1:52" x14ac:dyDescent="0.25">
      <c r="B9" s="1" t="s">
        <v>7</v>
      </c>
      <c r="C9" s="4">
        <v>7642</v>
      </c>
      <c r="D9" s="4">
        <v>8006</v>
      </c>
      <c r="E9" s="4">
        <v>8141</v>
      </c>
      <c r="F9" s="4">
        <v>8748</v>
      </c>
      <c r="G9" s="4">
        <v>8585</v>
      </c>
      <c r="H9" s="4">
        <v>8764</v>
      </c>
      <c r="I9" s="4">
        <v>8879</v>
      </c>
      <c r="J9" s="4">
        <v>9451</v>
      </c>
      <c r="K9" s="4"/>
      <c r="L9" s="4"/>
      <c r="M9" s="4"/>
      <c r="N9" s="4"/>
      <c r="O9" s="4"/>
      <c r="P9" s="4"/>
      <c r="Q9" s="4"/>
      <c r="R9" s="4"/>
      <c r="S9" s="4"/>
      <c r="T9" s="4">
        <v>5014</v>
      </c>
      <c r="U9" s="4">
        <v>6205</v>
      </c>
      <c r="V9" s="4">
        <v>7799</v>
      </c>
      <c r="W9" s="4">
        <v>9766</v>
      </c>
      <c r="X9" s="4">
        <v>12413</v>
      </c>
      <c r="Y9" s="4">
        <v>16043</v>
      </c>
      <c r="Z9" s="4">
        <v>19976</v>
      </c>
      <c r="AA9" s="4">
        <v>24657</v>
      </c>
      <c r="AB9" s="4">
        <v>29021</v>
      </c>
      <c r="AC9" s="4">
        <v>32537</v>
      </c>
      <c r="AD9" s="4"/>
      <c r="AE9" s="4"/>
      <c r="AF9" s="4"/>
      <c r="AG9" s="4"/>
      <c r="AH9" s="4"/>
      <c r="AI9" s="4"/>
      <c r="AJ9" s="4"/>
      <c r="AL9" s="1" t="s">
        <v>45</v>
      </c>
      <c r="AM9" s="7">
        <v>0.08</v>
      </c>
      <c r="AN9" s="1" t="s">
        <v>101</v>
      </c>
      <c r="AO9" s="7">
        <v>0.06</v>
      </c>
    </row>
    <row r="10" spans="1:52" x14ac:dyDescent="0.25">
      <c r="B10" s="1" t="s">
        <v>8</v>
      </c>
      <c r="C10" s="4">
        <v>605</v>
      </c>
      <c r="D10" s="4">
        <v>597</v>
      </c>
      <c r="E10" s="4">
        <v>579</v>
      </c>
      <c r="F10" s="4">
        <v>539</v>
      </c>
      <c r="G10" s="4">
        <v>548</v>
      </c>
      <c r="H10" s="4">
        <v>561</v>
      </c>
      <c r="I10" s="4">
        <v>565</v>
      </c>
      <c r="J10" s="4">
        <v>542</v>
      </c>
      <c r="K10" s="4"/>
      <c r="L10" s="4"/>
      <c r="M10" s="4"/>
      <c r="N10" s="4"/>
      <c r="O10" s="4"/>
      <c r="P10" s="4"/>
      <c r="Q10" s="4"/>
      <c r="R10" s="4"/>
      <c r="S10" s="4"/>
      <c r="T10" s="4">
        <v>360</v>
      </c>
      <c r="U10" s="4">
        <v>462</v>
      </c>
      <c r="V10" s="4">
        <v>638</v>
      </c>
      <c r="W10" s="4">
        <v>774</v>
      </c>
      <c r="X10" s="4">
        <v>869</v>
      </c>
      <c r="Y10" s="4">
        <v>1055</v>
      </c>
      <c r="Z10" s="4">
        <v>1276</v>
      </c>
      <c r="AA10" s="4">
        <v>1835</v>
      </c>
      <c r="AB10" s="4">
        <v>2331</v>
      </c>
      <c r="AC10" s="4">
        <v>2320</v>
      </c>
      <c r="AD10" s="4">
        <f>+AC10*1.03</f>
        <v>2389.6</v>
      </c>
      <c r="AE10" s="4">
        <f t="shared" ref="AE10:AJ10" si="10">+AD10*1.03</f>
        <v>2461.288</v>
      </c>
      <c r="AF10" s="4">
        <f t="shared" si="10"/>
        <v>2535.12664</v>
      </c>
      <c r="AG10" s="4">
        <f t="shared" si="10"/>
        <v>2611.1804391999999</v>
      </c>
      <c r="AH10" s="4">
        <f t="shared" si="10"/>
        <v>2689.5158523760001</v>
      </c>
      <c r="AI10" s="4">
        <f t="shared" si="10"/>
        <v>2770.2013279472803</v>
      </c>
      <c r="AJ10" s="4">
        <f t="shared" si="10"/>
        <v>2853.3073677856987</v>
      </c>
      <c r="AL10" s="1" t="s">
        <v>46</v>
      </c>
      <c r="AM10" s="5">
        <v>0.02</v>
      </c>
    </row>
    <row r="11" spans="1:52" x14ac:dyDescent="0.25">
      <c r="B11" s="2" t="s">
        <v>9</v>
      </c>
      <c r="C11" s="3">
        <f t="shared" ref="C11:F11" si="11">+C9+C10</f>
        <v>8247</v>
      </c>
      <c r="D11" s="3">
        <f t="shared" si="11"/>
        <v>8603</v>
      </c>
      <c r="E11" s="3">
        <f t="shared" si="11"/>
        <v>8720</v>
      </c>
      <c r="F11" s="3">
        <f t="shared" si="11"/>
        <v>9287</v>
      </c>
      <c r="G11" s="3">
        <f>+G9+G10</f>
        <v>9133</v>
      </c>
      <c r="H11" s="3">
        <f t="shared" ref="H11:J11" si="12">+H9+H10</f>
        <v>9325</v>
      </c>
      <c r="I11" s="3">
        <f t="shared" si="12"/>
        <v>9444</v>
      </c>
      <c r="J11" s="3">
        <f t="shared" si="12"/>
        <v>9993</v>
      </c>
      <c r="K11" s="4"/>
      <c r="L11" s="4"/>
      <c r="M11" s="15">
        <v>748.7</v>
      </c>
      <c r="N11" s="15">
        <v>1076.8</v>
      </c>
      <c r="O11" s="15">
        <v>1305.5999999999999</v>
      </c>
      <c r="P11" s="15">
        <v>1657.1</v>
      </c>
      <c r="Q11" s="15">
        <v>2266.5</v>
      </c>
      <c r="R11" s="15">
        <v>3231.6</v>
      </c>
      <c r="S11" s="15">
        <v>4071</v>
      </c>
      <c r="T11" s="15">
        <v>5373.6</v>
      </c>
      <c r="U11" s="3">
        <f t="shared" ref="U11:Z11" si="13">+U9+U10</f>
        <v>6667</v>
      </c>
      <c r="V11" s="3">
        <f t="shared" si="13"/>
        <v>8437</v>
      </c>
      <c r="W11" s="3">
        <f t="shared" si="13"/>
        <v>10540</v>
      </c>
      <c r="X11" s="3">
        <f t="shared" si="13"/>
        <v>13282</v>
      </c>
      <c r="Y11" s="3">
        <f t="shared" si="13"/>
        <v>17098</v>
      </c>
      <c r="Z11" s="3">
        <f t="shared" si="13"/>
        <v>21252</v>
      </c>
      <c r="AA11" s="3">
        <f t="shared" ref="AA11:AC11" si="14">+AA9+AA10</f>
        <v>26492</v>
      </c>
      <c r="AB11" s="3">
        <f t="shared" si="14"/>
        <v>31352</v>
      </c>
      <c r="AC11" s="3">
        <f t="shared" si="14"/>
        <v>34857</v>
      </c>
      <c r="AD11" s="3">
        <f>+SUM(AD2:AD6)+AD10</f>
        <v>37986.69</v>
      </c>
      <c r="AE11" s="3">
        <f t="shared" ref="AE11:AJ11" si="15">+SUM(AE2:AE6)+AE10</f>
        <v>42282.135400000014</v>
      </c>
      <c r="AF11" s="3">
        <f t="shared" si="15"/>
        <v>46543.87008700001</v>
      </c>
      <c r="AG11" s="3">
        <f t="shared" si="15"/>
        <v>51253.365007810011</v>
      </c>
      <c r="AH11" s="3">
        <f t="shared" si="15"/>
        <v>56458.719335755319</v>
      </c>
      <c r="AI11" s="3">
        <f t="shared" si="15"/>
        <v>62213.289677100904</v>
      </c>
      <c r="AJ11" s="3">
        <f t="shared" si="15"/>
        <v>68576.274456557803</v>
      </c>
      <c r="AL11" s="1" t="s">
        <v>47</v>
      </c>
      <c r="AM11" s="6">
        <f>+NPV(AM9,AD26:BT26)</f>
        <v>284210.76068675559</v>
      </c>
      <c r="AQ11" s="8"/>
      <c r="AR11" s="8"/>
      <c r="AS11" s="8"/>
      <c r="AT11" s="8"/>
      <c r="AU11" s="8"/>
      <c r="AV11" s="8"/>
    </row>
    <row r="12" spans="1:52" x14ac:dyDescent="0.25">
      <c r="B12" s="1" t="s">
        <v>18</v>
      </c>
      <c r="C12" s="4">
        <v>1510</v>
      </c>
      <c r="D12" s="4">
        <v>1515</v>
      </c>
      <c r="E12" s="4">
        <v>1571</v>
      </c>
      <c r="F12" s="4">
        <v>1581</v>
      </c>
      <c r="G12" s="4">
        <v>1560</v>
      </c>
      <c r="H12" s="4">
        <v>1556</v>
      </c>
      <c r="I12" s="4">
        <v>1501</v>
      </c>
      <c r="J12" s="4">
        <v>1581</v>
      </c>
      <c r="K12" s="4"/>
      <c r="L12" s="4"/>
      <c r="M12" s="4"/>
      <c r="N12" s="4"/>
      <c r="O12" s="4"/>
      <c r="P12" s="4"/>
      <c r="Q12" s="4"/>
      <c r="R12" s="4"/>
      <c r="S12" s="4"/>
      <c r="T12" s="4">
        <v>965</v>
      </c>
      <c r="U12" s="4">
        <v>1241</v>
      </c>
      <c r="V12" s="4">
        <v>1617</v>
      </c>
      <c r="W12" s="4">
        <v>2033</v>
      </c>
      <c r="X12" s="4">
        <v>2604</v>
      </c>
      <c r="Y12" s="4">
        <v>3198</v>
      </c>
      <c r="Z12" s="4">
        <v>4154</v>
      </c>
      <c r="AA12" s="4">
        <v>5059</v>
      </c>
      <c r="AB12" s="4">
        <v>5821</v>
      </c>
      <c r="AC12" s="4">
        <v>6177</v>
      </c>
      <c r="AD12" s="4">
        <f>+AD11*0.175</f>
        <v>6647.6707500000002</v>
      </c>
      <c r="AE12" s="4">
        <f>+AE11*0.17</f>
        <v>7187.9630180000031</v>
      </c>
      <c r="AF12" s="4">
        <f>+AF11*0.167</f>
        <v>7772.8263045290023</v>
      </c>
      <c r="AG12" s="4">
        <f>+AG11*0.16</f>
        <v>8200.5384012496015</v>
      </c>
      <c r="AH12" s="4">
        <f t="shared" ref="AH12:AJ12" si="16">+AH11*0.16</f>
        <v>9033.3950937208519</v>
      </c>
      <c r="AI12" s="4">
        <f t="shared" si="16"/>
        <v>9954.1263483361454</v>
      </c>
      <c r="AJ12" s="4">
        <f t="shared" si="16"/>
        <v>10972.203913049249</v>
      </c>
      <c r="AL12" s="1" t="s">
        <v>48</v>
      </c>
      <c r="AM12" s="6">
        <f>+main!B5-main!B6</f>
        <v>9170</v>
      </c>
      <c r="AP12" s="8"/>
      <c r="AQ12" s="8"/>
      <c r="AR12" s="8"/>
      <c r="AS12" s="8"/>
      <c r="AT12" s="8"/>
      <c r="AU12" s="8"/>
      <c r="AV12" s="8"/>
      <c r="AW12" s="8"/>
      <c r="AX12" s="8"/>
      <c r="AY12" s="8"/>
      <c r="AZ12" s="8"/>
    </row>
    <row r="13" spans="1:52" x14ac:dyDescent="0.25">
      <c r="B13" s="1" t="s">
        <v>19</v>
      </c>
      <c r="C13" s="4">
        <v>615</v>
      </c>
      <c r="D13" s="4">
        <v>598</v>
      </c>
      <c r="E13" s="4">
        <v>584</v>
      </c>
      <c r="F13" s="4">
        <v>567</v>
      </c>
      <c r="G13" s="4">
        <v>602</v>
      </c>
      <c r="H13" s="4">
        <v>603</v>
      </c>
      <c r="I13" s="4">
        <v>604</v>
      </c>
      <c r="J13" s="4">
        <v>636</v>
      </c>
      <c r="K13" s="4"/>
      <c r="L13" s="4"/>
      <c r="M13" s="4"/>
      <c r="N13" s="4"/>
      <c r="O13" s="4"/>
      <c r="P13" s="4"/>
      <c r="Q13" s="4"/>
      <c r="R13" s="4"/>
      <c r="S13" s="4"/>
      <c r="T13" s="4">
        <v>325</v>
      </c>
      <c r="U13" s="4">
        <v>413</v>
      </c>
      <c r="V13" s="4">
        <v>617</v>
      </c>
      <c r="W13" s="4">
        <v>740</v>
      </c>
      <c r="X13" s="4">
        <v>847</v>
      </c>
      <c r="Y13" s="4">
        <v>1037</v>
      </c>
      <c r="Z13" s="4">
        <v>1284</v>
      </c>
      <c r="AA13" s="4">
        <v>1967</v>
      </c>
      <c r="AB13" s="4">
        <v>2539</v>
      </c>
      <c r="AC13" s="4">
        <v>2364</v>
      </c>
      <c r="AD13" s="4">
        <f>+AC13*1.03</f>
        <v>2434.92</v>
      </c>
      <c r="AE13" s="4">
        <f t="shared" ref="AE13:AJ13" si="17">+AD13*1.03</f>
        <v>2507.9675999999999</v>
      </c>
      <c r="AF13" s="4">
        <f t="shared" si="17"/>
        <v>2583.2066279999999</v>
      </c>
      <c r="AG13" s="4">
        <f t="shared" si="17"/>
        <v>2660.7028268399999</v>
      </c>
      <c r="AH13" s="4">
        <f t="shared" si="17"/>
        <v>2740.5239116451999</v>
      </c>
      <c r="AI13" s="4">
        <f t="shared" si="17"/>
        <v>2822.7396289945559</v>
      </c>
      <c r="AJ13" s="4">
        <f t="shared" si="17"/>
        <v>2907.4218178643928</v>
      </c>
      <c r="AL13" s="1" t="s">
        <v>49</v>
      </c>
      <c r="AM13" s="6">
        <f>+AM11+AM12</f>
        <v>293380.76068675559</v>
      </c>
    </row>
    <row r="14" spans="1:52" x14ac:dyDescent="0.25">
      <c r="B14" s="1" t="s">
        <v>20</v>
      </c>
      <c r="C14" s="4">
        <f t="shared" ref="C14:F14" si="18">+C12+C13</f>
        <v>2125</v>
      </c>
      <c r="D14" s="4">
        <f t="shared" si="18"/>
        <v>2113</v>
      </c>
      <c r="E14" s="4">
        <f t="shared" si="18"/>
        <v>2155</v>
      </c>
      <c r="F14" s="4">
        <f t="shared" si="18"/>
        <v>2148</v>
      </c>
      <c r="G14" s="4">
        <f>+G12+G13</f>
        <v>2162</v>
      </c>
      <c r="H14" s="4">
        <f t="shared" ref="H14:J14" si="19">+H12+H13</f>
        <v>2159</v>
      </c>
      <c r="I14" s="4">
        <f t="shared" si="19"/>
        <v>2105</v>
      </c>
      <c r="J14" s="4">
        <f t="shared" si="19"/>
        <v>2217</v>
      </c>
      <c r="K14" s="4"/>
      <c r="L14" s="4"/>
      <c r="M14" s="16">
        <v>171.6</v>
      </c>
      <c r="N14" s="16">
        <v>220.5</v>
      </c>
      <c r="O14" s="16">
        <v>257.89999999999998</v>
      </c>
      <c r="P14" s="16">
        <v>323.8</v>
      </c>
      <c r="Q14" s="16">
        <v>488.9</v>
      </c>
      <c r="R14" s="16">
        <v>873</v>
      </c>
      <c r="S14" s="16">
        <v>968.4</v>
      </c>
      <c r="T14" s="4">
        <f t="shared" ref="T14" si="20">+T12+T13</f>
        <v>1290</v>
      </c>
      <c r="U14" s="4">
        <f t="shared" ref="U14:Z14" si="21">+U12+U13</f>
        <v>1654</v>
      </c>
      <c r="V14" s="4">
        <f t="shared" si="21"/>
        <v>2234</v>
      </c>
      <c r="W14" s="4">
        <f t="shared" si="21"/>
        <v>2773</v>
      </c>
      <c r="X14" s="4">
        <f t="shared" si="21"/>
        <v>3451</v>
      </c>
      <c r="Y14" s="4">
        <f t="shared" si="21"/>
        <v>4235</v>
      </c>
      <c r="Z14" s="4">
        <f t="shared" si="21"/>
        <v>5438</v>
      </c>
      <c r="AA14" s="4">
        <f t="shared" ref="AA14:AE14" si="22">+AA12+AA13</f>
        <v>7026</v>
      </c>
      <c r="AB14" s="4">
        <f t="shared" si="22"/>
        <v>8360</v>
      </c>
      <c r="AC14" s="4">
        <f t="shared" si="22"/>
        <v>8541</v>
      </c>
      <c r="AD14" s="4">
        <f t="shared" si="22"/>
        <v>9082.5907499999994</v>
      </c>
      <c r="AE14" s="4">
        <f t="shared" si="22"/>
        <v>9695.9306180000021</v>
      </c>
      <c r="AF14" s="4">
        <f t="shared" ref="AF14:AI14" si="23">+AF12+AF13</f>
        <v>10356.032932529002</v>
      </c>
      <c r="AG14" s="4">
        <f t="shared" si="23"/>
        <v>10861.241228089602</v>
      </c>
      <c r="AH14" s="4">
        <f t="shared" si="23"/>
        <v>11773.919005366051</v>
      </c>
      <c r="AI14" s="4">
        <f t="shared" si="23"/>
        <v>12776.865977330701</v>
      </c>
      <c r="AJ14" s="4">
        <f t="shared" ref="AJ14" si="24">+AJ12+AJ13</f>
        <v>13879.625730913642</v>
      </c>
      <c r="AL14" s="1" t="s">
        <v>50</v>
      </c>
      <c r="AM14" s="6">
        <f>+AM13/main!B3</f>
        <v>306.88364088572763</v>
      </c>
    </row>
    <row r="15" spans="1:52" x14ac:dyDescent="0.25">
      <c r="B15" s="2" t="s">
        <v>21</v>
      </c>
      <c r="C15" s="3">
        <f t="shared" ref="C15:F15" si="25">+C11-C14</f>
        <v>6122</v>
      </c>
      <c r="D15" s="3">
        <f t="shared" si="25"/>
        <v>6490</v>
      </c>
      <c r="E15" s="3">
        <f t="shared" si="25"/>
        <v>6565</v>
      </c>
      <c r="F15" s="3">
        <f t="shared" si="25"/>
        <v>7139</v>
      </c>
      <c r="G15" s="3">
        <f>+G11-G14</f>
        <v>6971</v>
      </c>
      <c r="H15" s="3">
        <f t="shared" ref="H15:J15" si="26">+H11-H14</f>
        <v>7166</v>
      </c>
      <c r="I15" s="3">
        <f t="shared" si="26"/>
        <v>7339</v>
      </c>
      <c r="J15" s="3">
        <f t="shared" si="26"/>
        <v>7776</v>
      </c>
      <c r="K15" s="4"/>
      <c r="L15" s="4"/>
      <c r="M15" s="3">
        <f t="shared" ref="M15:S15" si="27">+M11-M14</f>
        <v>577.1</v>
      </c>
      <c r="N15" s="3">
        <f t="shared" si="27"/>
        <v>856.3</v>
      </c>
      <c r="O15" s="3">
        <f t="shared" si="27"/>
        <v>1047.6999999999998</v>
      </c>
      <c r="P15" s="3">
        <f t="shared" si="27"/>
        <v>1333.3</v>
      </c>
      <c r="Q15" s="3">
        <f t="shared" si="27"/>
        <v>1777.6</v>
      </c>
      <c r="R15" s="3">
        <f t="shared" si="27"/>
        <v>2358.6</v>
      </c>
      <c r="S15" s="3">
        <f t="shared" si="27"/>
        <v>3102.6</v>
      </c>
      <c r="T15" s="3">
        <f t="shared" ref="T15" si="28">+T11-T14</f>
        <v>4083.6000000000004</v>
      </c>
      <c r="U15" s="3">
        <f t="shared" ref="U15:Z15" si="29">+U11-U14</f>
        <v>5013</v>
      </c>
      <c r="V15" s="3">
        <f t="shared" si="29"/>
        <v>6203</v>
      </c>
      <c r="W15" s="3">
        <f t="shared" si="29"/>
        <v>7767</v>
      </c>
      <c r="X15" s="3">
        <f t="shared" si="29"/>
        <v>9831</v>
      </c>
      <c r="Y15" s="3">
        <f t="shared" si="29"/>
        <v>12863</v>
      </c>
      <c r="Z15" s="3">
        <f t="shared" si="29"/>
        <v>15814</v>
      </c>
      <c r="AA15" s="3">
        <f t="shared" ref="AA15:AE15" si="30">+AA11-AA14</f>
        <v>19466</v>
      </c>
      <c r="AB15" s="3">
        <f t="shared" si="30"/>
        <v>22992</v>
      </c>
      <c r="AC15" s="3">
        <f t="shared" si="30"/>
        <v>26316</v>
      </c>
      <c r="AD15" s="3">
        <f t="shared" si="30"/>
        <v>28904.099250000003</v>
      </c>
      <c r="AE15" s="3">
        <f t="shared" si="30"/>
        <v>32586.204782000012</v>
      </c>
      <c r="AF15" s="3">
        <f t="shared" ref="AF15:AI15" si="31">+AF11-AF14</f>
        <v>36187.83715447101</v>
      </c>
      <c r="AG15" s="3">
        <f t="shared" si="31"/>
        <v>40392.123779720408</v>
      </c>
      <c r="AH15" s="3">
        <f t="shared" si="31"/>
        <v>44684.800330389269</v>
      </c>
      <c r="AI15" s="3">
        <f t="shared" si="31"/>
        <v>49436.423699770203</v>
      </c>
      <c r="AJ15" s="3">
        <f t="shared" ref="AJ15" si="32">+AJ11-AJ14</f>
        <v>54696.648725644161</v>
      </c>
    </row>
    <row r="16" spans="1:52" x14ac:dyDescent="0.25">
      <c r="B16" s="1" t="s">
        <v>22</v>
      </c>
      <c r="C16" s="4">
        <v>1207</v>
      </c>
      <c r="D16" s="4">
        <v>1220</v>
      </c>
      <c r="E16" s="4">
        <v>1204</v>
      </c>
      <c r="F16" s="4">
        <v>1275</v>
      </c>
      <c r="G16" s="4">
        <v>1368</v>
      </c>
      <c r="H16" s="4">
        <v>1349</v>
      </c>
      <c r="I16" s="4">
        <v>1356</v>
      </c>
      <c r="J16" s="4">
        <v>1420</v>
      </c>
      <c r="K16" s="4"/>
      <c r="L16" s="4"/>
      <c r="M16" s="4"/>
      <c r="N16" s="4"/>
      <c r="O16" s="4"/>
      <c r="P16" s="4"/>
      <c r="Q16" s="4"/>
      <c r="R16" s="4"/>
      <c r="S16" s="4"/>
      <c r="T16" s="4">
        <v>793</v>
      </c>
      <c r="U16" s="4">
        <v>946</v>
      </c>
      <c r="V16" s="4">
        <v>1208</v>
      </c>
      <c r="W16" s="4">
        <v>1553</v>
      </c>
      <c r="X16" s="4">
        <v>1886</v>
      </c>
      <c r="Y16" s="4">
        <v>2766</v>
      </c>
      <c r="Z16" s="4">
        <v>3598</v>
      </c>
      <c r="AA16" s="4">
        <v>4465</v>
      </c>
      <c r="AB16" s="4">
        <v>5055</v>
      </c>
      <c r="AC16" s="4">
        <v>4906</v>
      </c>
      <c r="AD16" s="4">
        <f>+AD11*0.14</f>
        <v>5318.1366000000007</v>
      </c>
      <c r="AE16" s="4">
        <f t="shared" ref="AE16:AJ16" si="33">+AE11*0.14</f>
        <v>5919.4989560000022</v>
      </c>
      <c r="AF16" s="4">
        <f t="shared" si="33"/>
        <v>6516.1418121800025</v>
      </c>
      <c r="AG16" s="4">
        <f t="shared" si="33"/>
        <v>7175.4711010934025</v>
      </c>
      <c r="AH16" s="4">
        <f t="shared" si="33"/>
        <v>7904.2207070057457</v>
      </c>
      <c r="AI16" s="4">
        <f t="shared" si="33"/>
        <v>8709.8605547941279</v>
      </c>
      <c r="AJ16" s="4">
        <f t="shared" si="33"/>
        <v>9600.6784239180943</v>
      </c>
      <c r="AL16" s="1" t="s">
        <v>126</v>
      </c>
      <c r="AM16" s="4">
        <f>+J100</f>
        <v>12434</v>
      </c>
    </row>
    <row r="17" spans="2:72" x14ac:dyDescent="0.25">
      <c r="B17" s="1" t="s">
        <v>23</v>
      </c>
      <c r="C17" s="4">
        <v>3154</v>
      </c>
      <c r="D17" s="4">
        <v>3113</v>
      </c>
      <c r="E17" s="4">
        <v>3173</v>
      </c>
      <c r="F17" s="4">
        <v>3437</v>
      </c>
      <c r="G17" s="4">
        <v>3239</v>
      </c>
      <c r="H17" s="4">
        <v>3224</v>
      </c>
      <c r="I17" s="4">
        <v>3323</v>
      </c>
      <c r="J17" s="4">
        <v>3471</v>
      </c>
      <c r="K17" s="4"/>
      <c r="L17" s="4"/>
      <c r="M17" s="4"/>
      <c r="N17" s="4"/>
      <c r="O17" s="4"/>
      <c r="P17" s="4"/>
      <c r="Q17" s="4"/>
      <c r="R17" s="4"/>
      <c r="S17" s="4"/>
      <c r="T17" s="4">
        <v>2757</v>
      </c>
      <c r="U17" s="4">
        <v>3240</v>
      </c>
      <c r="V17" s="4">
        <v>3811</v>
      </c>
      <c r="W17" s="4">
        <v>4671</v>
      </c>
      <c r="X17" s="4">
        <v>6064</v>
      </c>
      <c r="Y17" s="4">
        <v>7930</v>
      </c>
      <c r="Z17" s="4">
        <v>9674</v>
      </c>
      <c r="AA17" s="4">
        <v>11855</v>
      </c>
      <c r="AB17" s="4">
        <v>13526</v>
      </c>
      <c r="AC17" s="4">
        <v>12877</v>
      </c>
      <c r="AD17" s="4">
        <f>+AC17*1.04</f>
        <v>13392.08</v>
      </c>
      <c r="AE17" s="4">
        <f t="shared" ref="AE17:AI17" si="34">+AD17*1.04</f>
        <v>13927.763200000001</v>
      </c>
      <c r="AF17" s="4">
        <f t="shared" si="34"/>
        <v>14484.873728000002</v>
      </c>
      <c r="AG17" s="4">
        <f t="shared" si="34"/>
        <v>15064.268677120002</v>
      </c>
      <c r="AH17" s="4">
        <f t="shared" si="34"/>
        <v>15666.839424204803</v>
      </c>
      <c r="AI17" s="4">
        <f t="shared" si="34"/>
        <v>16293.513001172996</v>
      </c>
      <c r="AJ17" s="4">
        <f t="shared" ref="AJ17" si="35">+AI17*1.04</f>
        <v>16945.253521219918</v>
      </c>
      <c r="AL17" s="2" t="s">
        <v>127</v>
      </c>
      <c r="AM17" s="14">
        <f>+main!B7/model!AM16</f>
        <v>21.790091684092005</v>
      </c>
    </row>
    <row r="18" spans="2:72" x14ac:dyDescent="0.25">
      <c r="B18" s="1" t="s">
        <v>24</v>
      </c>
      <c r="C18" s="4">
        <v>638</v>
      </c>
      <c r="D18" s="4">
        <v>632</v>
      </c>
      <c r="E18" s="4">
        <v>632</v>
      </c>
      <c r="F18" s="4">
        <v>632</v>
      </c>
      <c r="G18" s="4">
        <v>647</v>
      </c>
      <c r="H18" s="4">
        <v>711</v>
      </c>
      <c r="I18" s="4">
        <v>711</v>
      </c>
      <c r="J18" s="4">
        <v>767</v>
      </c>
      <c r="K18" s="4"/>
      <c r="L18" s="4"/>
      <c r="M18" s="4"/>
      <c r="N18" s="4"/>
      <c r="O18" s="4"/>
      <c r="P18" s="4"/>
      <c r="Q18" s="4"/>
      <c r="R18" s="4"/>
      <c r="S18" s="4"/>
      <c r="T18" s="4">
        <v>680</v>
      </c>
      <c r="U18" s="4">
        <v>748</v>
      </c>
      <c r="V18" s="4">
        <v>966</v>
      </c>
      <c r="W18" s="4">
        <v>1089</v>
      </c>
      <c r="X18" s="4">
        <v>1346</v>
      </c>
      <c r="Y18" s="4">
        <f>1704+166</f>
        <v>1870</v>
      </c>
      <c r="Z18" s="4">
        <v>2087</v>
      </c>
      <c r="AA18" s="4">
        <v>2598</v>
      </c>
      <c r="AB18" s="4">
        <v>2553</v>
      </c>
      <c r="AC18" s="4">
        <v>2534</v>
      </c>
      <c r="AD18" s="4">
        <f>+AC18*1.05</f>
        <v>2660.7000000000003</v>
      </c>
      <c r="AE18" s="4">
        <f t="shared" ref="AE18:AI18" si="36">+AD18*1.05</f>
        <v>2793.7350000000006</v>
      </c>
      <c r="AF18" s="4">
        <f t="shared" si="36"/>
        <v>2933.4217500000009</v>
      </c>
      <c r="AG18" s="4">
        <f t="shared" si="36"/>
        <v>3080.0928375000012</v>
      </c>
      <c r="AH18" s="4">
        <f t="shared" si="36"/>
        <v>3234.0974793750015</v>
      </c>
      <c r="AI18" s="4">
        <f t="shared" si="36"/>
        <v>3395.8023533437517</v>
      </c>
      <c r="AJ18" s="4">
        <f t="shared" ref="AJ18" si="37">+AI18*1.05</f>
        <v>3565.5924710109393</v>
      </c>
    </row>
    <row r="19" spans="2:72" x14ac:dyDescent="0.25">
      <c r="B19" s="1" t="s">
        <v>75</v>
      </c>
      <c r="C19" s="4">
        <v>711</v>
      </c>
      <c r="D19" s="4">
        <v>49</v>
      </c>
      <c r="E19" s="4">
        <v>55</v>
      </c>
      <c r="F19" s="4">
        <v>173</v>
      </c>
      <c r="G19" s="4">
        <v>8</v>
      </c>
      <c r="H19" s="4">
        <v>99</v>
      </c>
      <c r="I19" s="4">
        <v>56</v>
      </c>
      <c r="J19" s="4">
        <v>298</v>
      </c>
      <c r="K19" s="4"/>
      <c r="L19" s="4"/>
      <c r="M19" s="4"/>
      <c r="N19" s="4"/>
      <c r="O19" s="4"/>
      <c r="P19" s="4"/>
      <c r="Q19" s="4"/>
      <c r="R19" s="4"/>
      <c r="S19" s="4"/>
      <c r="T19" s="4"/>
      <c r="U19" s="4"/>
      <c r="V19" s="4"/>
      <c r="W19" s="4"/>
      <c r="X19" s="4"/>
      <c r="Y19" s="4"/>
      <c r="Z19" s="4"/>
      <c r="AA19" s="4"/>
      <c r="AB19" s="4">
        <v>828</v>
      </c>
      <c r="AC19" s="4">
        <v>988</v>
      </c>
      <c r="AD19" s="4"/>
      <c r="AE19" s="4"/>
      <c r="AF19" s="4"/>
      <c r="AG19" s="4"/>
      <c r="AH19" s="4"/>
      <c r="AI19" s="4"/>
      <c r="AJ19" s="4"/>
    </row>
    <row r="20" spans="2:72" x14ac:dyDescent="0.25">
      <c r="B20" s="1" t="s">
        <v>25</v>
      </c>
      <c r="C20" s="4">
        <f>+C16+C17+C18+C19</f>
        <v>5710</v>
      </c>
      <c r="D20" s="4">
        <f t="shared" ref="D20:J20" si="38">+D16+D17+D18+D19</f>
        <v>5014</v>
      </c>
      <c r="E20" s="4">
        <f t="shared" si="38"/>
        <v>5064</v>
      </c>
      <c r="F20" s="4">
        <f t="shared" si="38"/>
        <v>5517</v>
      </c>
      <c r="G20" s="4">
        <f t="shared" si="38"/>
        <v>5262</v>
      </c>
      <c r="H20" s="4">
        <f t="shared" si="38"/>
        <v>5383</v>
      </c>
      <c r="I20" s="4">
        <f t="shared" si="38"/>
        <v>5446</v>
      </c>
      <c r="J20" s="4">
        <f t="shared" si="38"/>
        <v>5956</v>
      </c>
      <c r="K20" s="4"/>
      <c r="L20" s="4"/>
      <c r="M20" s="16">
        <v>556.79999999999995</v>
      </c>
      <c r="N20" s="16">
        <v>792.6</v>
      </c>
      <c r="O20" s="16">
        <v>932.4</v>
      </c>
      <c r="P20" s="16">
        <v>1235.8</v>
      </c>
      <c r="Q20" s="16">
        <v>1812.7</v>
      </c>
      <c r="R20" s="16">
        <v>2477.3000000000002</v>
      </c>
      <c r="S20" s="16">
        <v>3388.6</v>
      </c>
      <c r="T20" s="4">
        <f t="shared" ref="T20" si="39">+T16+T17+T18</f>
        <v>4230</v>
      </c>
      <c r="U20" s="4">
        <f t="shared" ref="U20:W20" si="40">+U16+U17+U18</f>
        <v>4934</v>
      </c>
      <c r="V20" s="4">
        <f t="shared" si="40"/>
        <v>5985</v>
      </c>
      <c r="W20" s="4">
        <f t="shared" si="40"/>
        <v>7313</v>
      </c>
      <c r="X20" s="4">
        <f t="shared" ref="X20:AB20" si="41">+X16+X17+X18+X19</f>
        <v>9296</v>
      </c>
      <c r="Y20" s="4">
        <f t="shared" si="41"/>
        <v>12566</v>
      </c>
      <c r="Z20" s="4">
        <f t="shared" si="41"/>
        <v>15359</v>
      </c>
      <c r="AA20" s="4">
        <f t="shared" si="41"/>
        <v>18918</v>
      </c>
      <c r="AB20" s="4">
        <f t="shared" si="41"/>
        <v>21962</v>
      </c>
      <c r="AC20" s="4">
        <f>+AC16+AC17+AC18+AC19</f>
        <v>21305</v>
      </c>
      <c r="AD20" s="4">
        <f t="shared" ref="AD20:AJ20" si="42">+AD16+AD17+AD18+AD19</f>
        <v>21370.9166</v>
      </c>
      <c r="AE20" s="4">
        <f t="shared" si="42"/>
        <v>22640.997156000005</v>
      </c>
      <c r="AF20" s="4">
        <f t="shared" si="42"/>
        <v>23934.437290180005</v>
      </c>
      <c r="AG20" s="4">
        <f t="shared" si="42"/>
        <v>25319.832615713407</v>
      </c>
      <c r="AH20" s="4">
        <f t="shared" si="42"/>
        <v>26805.157610585553</v>
      </c>
      <c r="AI20" s="4">
        <f t="shared" si="42"/>
        <v>28399.175909310878</v>
      </c>
      <c r="AJ20" s="4">
        <f t="shared" si="42"/>
        <v>30111.524416148954</v>
      </c>
    </row>
    <row r="21" spans="2:72" x14ac:dyDescent="0.25">
      <c r="B21" s="2" t="s">
        <v>26</v>
      </c>
      <c r="C21" s="3">
        <f>+C15-C20</f>
        <v>412</v>
      </c>
      <c r="D21" s="3">
        <f t="shared" ref="D21:J21" si="43">+D15-D20</f>
        <v>1476</v>
      </c>
      <c r="E21" s="3">
        <f t="shared" si="43"/>
        <v>1501</v>
      </c>
      <c r="F21" s="3">
        <f t="shared" si="43"/>
        <v>1622</v>
      </c>
      <c r="G21" s="3">
        <f t="shared" si="43"/>
        <v>1709</v>
      </c>
      <c r="H21" s="3">
        <f t="shared" si="43"/>
        <v>1783</v>
      </c>
      <c r="I21" s="3">
        <f t="shared" si="43"/>
        <v>1893</v>
      </c>
      <c r="J21" s="3">
        <f t="shared" si="43"/>
        <v>1820</v>
      </c>
      <c r="K21" s="4"/>
      <c r="L21" s="4"/>
      <c r="M21" s="3">
        <f t="shared" ref="M21:S21" si="44">+M15-M20</f>
        <v>20.300000000000068</v>
      </c>
      <c r="N21" s="3">
        <f t="shared" si="44"/>
        <v>63.699999999999932</v>
      </c>
      <c r="O21" s="3">
        <f t="shared" si="44"/>
        <v>115.29999999999984</v>
      </c>
      <c r="P21" s="3">
        <f t="shared" si="44"/>
        <v>97.5</v>
      </c>
      <c r="Q21" s="3">
        <f t="shared" si="44"/>
        <v>-35.100000000000136</v>
      </c>
      <c r="R21" s="3">
        <f t="shared" si="44"/>
        <v>-118.70000000000027</v>
      </c>
      <c r="S21" s="3">
        <f t="shared" si="44"/>
        <v>-286</v>
      </c>
      <c r="T21" s="3">
        <f t="shared" ref="T21" si="45">+T15-T20</f>
        <v>-146.39999999999964</v>
      </c>
      <c r="U21" s="3">
        <f t="shared" ref="U21:Z21" si="46">+U15-U20</f>
        <v>79</v>
      </c>
      <c r="V21" s="3">
        <f t="shared" si="46"/>
        <v>218</v>
      </c>
      <c r="W21" s="3">
        <f t="shared" si="46"/>
        <v>454</v>
      </c>
      <c r="X21" s="3">
        <f t="shared" si="46"/>
        <v>535</v>
      </c>
      <c r="Y21" s="3">
        <f t="shared" si="46"/>
        <v>297</v>
      </c>
      <c r="Z21" s="3">
        <f t="shared" si="46"/>
        <v>455</v>
      </c>
      <c r="AA21" s="3">
        <f t="shared" ref="AA21:AE21" si="47">+AA15-AA20</f>
        <v>548</v>
      </c>
      <c r="AB21" s="3">
        <f t="shared" si="47"/>
        <v>1030</v>
      </c>
      <c r="AC21" s="3">
        <f t="shared" si="47"/>
        <v>5011</v>
      </c>
      <c r="AD21" s="3">
        <f t="shared" si="47"/>
        <v>7533.1826500000025</v>
      </c>
      <c r="AE21" s="3">
        <f t="shared" si="47"/>
        <v>9945.2076260000067</v>
      </c>
      <c r="AF21" s="3">
        <f t="shared" ref="AF21:AI21" si="48">+AF15-AF20</f>
        <v>12253.399864291005</v>
      </c>
      <c r="AG21" s="3">
        <f t="shared" si="48"/>
        <v>15072.291164007001</v>
      </c>
      <c r="AH21" s="3">
        <f t="shared" si="48"/>
        <v>17879.642719803716</v>
      </c>
      <c r="AI21" s="3">
        <f t="shared" si="48"/>
        <v>21037.247790459325</v>
      </c>
      <c r="AJ21" s="3">
        <f t="shared" ref="AJ21" si="49">+AJ15-AJ20</f>
        <v>24585.124309495208</v>
      </c>
    </row>
    <row r="22" spans="2:72" x14ac:dyDescent="0.25">
      <c r="B22" s="1" t="s">
        <v>27</v>
      </c>
      <c r="C22" s="4">
        <v>-141</v>
      </c>
      <c r="D22" s="4">
        <v>-29</v>
      </c>
      <c r="E22" s="4">
        <v>-72</v>
      </c>
      <c r="F22" s="4">
        <v>-35</v>
      </c>
      <c r="G22" s="4">
        <v>37</v>
      </c>
      <c r="H22" s="4">
        <v>-37</v>
      </c>
      <c r="I22" s="4">
        <v>-217</v>
      </c>
      <c r="J22" s="4">
        <v>96</v>
      </c>
      <c r="K22" s="4"/>
      <c r="L22" s="4"/>
      <c r="M22" s="4"/>
      <c r="N22" s="4"/>
      <c r="O22" s="4"/>
      <c r="P22" s="4"/>
      <c r="Q22" s="4"/>
      <c r="R22" s="4"/>
      <c r="S22" s="4"/>
      <c r="T22" s="4">
        <v>10</v>
      </c>
      <c r="U22" s="4">
        <v>15</v>
      </c>
      <c r="V22" s="4">
        <v>27</v>
      </c>
      <c r="W22" s="4">
        <v>36</v>
      </c>
      <c r="X22" s="4">
        <v>57</v>
      </c>
      <c r="Y22" s="4">
        <v>427</v>
      </c>
      <c r="Z22" s="4">
        <v>2170</v>
      </c>
      <c r="AA22" s="4">
        <v>1211</v>
      </c>
      <c r="AB22" s="4">
        <v>-239</v>
      </c>
      <c r="AC22" s="4">
        <v>-277</v>
      </c>
      <c r="AD22" s="4">
        <v>0</v>
      </c>
      <c r="AE22" s="4">
        <v>0</v>
      </c>
      <c r="AF22" s="4">
        <v>0</v>
      </c>
      <c r="AG22" s="4">
        <v>0</v>
      </c>
      <c r="AH22" s="4">
        <v>0</v>
      </c>
      <c r="AI22" s="4">
        <v>0</v>
      </c>
      <c r="AJ22" s="4">
        <v>0</v>
      </c>
    </row>
    <row r="23" spans="2:72" x14ac:dyDescent="0.25">
      <c r="B23" s="1" t="s">
        <v>28</v>
      </c>
      <c r="C23" s="4">
        <v>55</v>
      </c>
      <c r="D23" s="4">
        <v>45</v>
      </c>
      <c r="E23" s="4">
        <v>58</v>
      </c>
      <c r="F23" s="4">
        <v>58</v>
      </c>
      <c r="G23" s="4">
        <v>121</v>
      </c>
      <c r="H23" s="4">
        <v>91</v>
      </c>
      <c r="I23" s="4">
        <v>70</v>
      </c>
      <c r="J23" s="4">
        <v>72</v>
      </c>
      <c r="K23" s="4"/>
      <c r="L23" s="4"/>
      <c r="M23" s="17">
        <v>25.9</v>
      </c>
      <c r="N23" s="17">
        <v>21.8</v>
      </c>
      <c r="O23" s="17">
        <v>27.1</v>
      </c>
      <c r="P23" s="17">
        <v>6.8</v>
      </c>
      <c r="Q23" s="17">
        <v>1.8</v>
      </c>
      <c r="R23" s="17">
        <v>-17.100000000000001</v>
      </c>
      <c r="S23" s="17">
        <v>-71.900000000000006</v>
      </c>
      <c r="T23" s="4">
        <f>-73-10-10+16</f>
        <v>-77</v>
      </c>
      <c r="U23" s="4">
        <f>-73-16+1+22</f>
        <v>-66</v>
      </c>
      <c r="V23" s="4">
        <f>-89+31-8</f>
        <v>-66</v>
      </c>
      <c r="W23" s="4">
        <f>-87+19-2</f>
        <v>-70</v>
      </c>
      <c r="X23" s="4">
        <f>-154+542+3</f>
        <v>391</v>
      </c>
      <c r="Y23" s="4">
        <v>-18</v>
      </c>
      <c r="Z23" s="4">
        <v>-64</v>
      </c>
      <c r="AA23" s="4">
        <v>-227</v>
      </c>
      <c r="AB23" s="4">
        <v>-131</v>
      </c>
      <c r="AC23" s="4">
        <v>216</v>
      </c>
      <c r="AD23" s="4">
        <f t="shared" ref="AD23:AJ23" si="50">+AC40*$AO$9</f>
        <v>576.95999999999992</v>
      </c>
      <c r="AE23" s="4">
        <f t="shared" si="50"/>
        <v>975.97901838000007</v>
      </c>
      <c r="AF23" s="4">
        <f t="shared" si="50"/>
        <v>1513.3014012834963</v>
      </c>
      <c r="AG23" s="4">
        <f t="shared" si="50"/>
        <v>2190.6231035497617</v>
      </c>
      <c r="AH23" s="4">
        <f t="shared" si="50"/>
        <v>3039.9584855135545</v>
      </c>
      <c r="AI23" s="4">
        <f t="shared" si="50"/>
        <v>4069.202864815164</v>
      </c>
      <c r="AJ23" s="4">
        <f t="shared" si="50"/>
        <v>5304.4402370546686</v>
      </c>
    </row>
    <row r="24" spans="2:72" x14ac:dyDescent="0.25">
      <c r="B24" s="2" t="s">
        <v>29</v>
      </c>
      <c r="C24" s="3">
        <f t="shared" ref="C24:F24" si="51">+C21+C22+C23</f>
        <v>326</v>
      </c>
      <c r="D24" s="3">
        <f t="shared" si="51"/>
        <v>1492</v>
      </c>
      <c r="E24" s="3">
        <f t="shared" si="51"/>
        <v>1487</v>
      </c>
      <c r="F24" s="3">
        <f t="shared" si="51"/>
        <v>1645</v>
      </c>
      <c r="G24" s="3">
        <f>+G21+G22+G23</f>
        <v>1867</v>
      </c>
      <c r="H24" s="3">
        <f t="shared" ref="H24:J24" si="52">+H21+H22+H23</f>
        <v>1837</v>
      </c>
      <c r="I24" s="3">
        <f t="shared" si="52"/>
        <v>1746</v>
      </c>
      <c r="J24" s="3">
        <f t="shared" si="52"/>
        <v>1988</v>
      </c>
      <c r="K24" s="3"/>
      <c r="L24" s="3"/>
      <c r="M24" s="3">
        <f t="shared" ref="M24:S24" si="53">+M21+M22+M23</f>
        <v>46.200000000000067</v>
      </c>
      <c r="N24" s="3">
        <f t="shared" si="53"/>
        <v>85.499999999999929</v>
      </c>
      <c r="O24" s="3">
        <f t="shared" si="53"/>
        <v>142.39999999999984</v>
      </c>
      <c r="P24" s="3">
        <f t="shared" si="53"/>
        <v>104.3</v>
      </c>
      <c r="Q24" s="3">
        <f t="shared" si="53"/>
        <v>-33.300000000000139</v>
      </c>
      <c r="R24" s="3">
        <f t="shared" si="53"/>
        <v>-135.80000000000027</v>
      </c>
      <c r="S24" s="3">
        <f t="shared" si="53"/>
        <v>-357.9</v>
      </c>
      <c r="T24" s="3">
        <f t="shared" ref="T24" si="54">+T21+T22+T23</f>
        <v>-213.39999999999964</v>
      </c>
      <c r="U24" s="3">
        <f t="shared" ref="U24:Z24" si="55">+U21+U22+U23</f>
        <v>28</v>
      </c>
      <c r="V24" s="3">
        <f t="shared" si="55"/>
        <v>179</v>
      </c>
      <c r="W24" s="3">
        <f t="shared" si="55"/>
        <v>420</v>
      </c>
      <c r="X24" s="3">
        <f t="shared" si="55"/>
        <v>983</v>
      </c>
      <c r="Y24" s="3">
        <f t="shared" si="55"/>
        <v>706</v>
      </c>
      <c r="Z24" s="3">
        <f t="shared" si="55"/>
        <v>2561</v>
      </c>
      <c r="AA24" s="3">
        <f t="shared" ref="AA24:AE24" si="56">+AA21+AA22+AA23</f>
        <v>1532</v>
      </c>
      <c r="AB24" s="3">
        <f t="shared" si="56"/>
        <v>660</v>
      </c>
      <c r="AC24" s="3">
        <f t="shared" si="56"/>
        <v>4950</v>
      </c>
      <c r="AD24" s="3">
        <f t="shared" si="56"/>
        <v>8110.1426500000025</v>
      </c>
      <c r="AE24" s="3">
        <f t="shared" si="56"/>
        <v>10921.186644380006</v>
      </c>
      <c r="AF24" s="3">
        <f t="shared" ref="AF24:AI24" si="57">+AF21+AF22+AF23</f>
        <v>13766.7012655745</v>
      </c>
      <c r="AG24" s="3">
        <f t="shared" si="57"/>
        <v>17262.914267556764</v>
      </c>
      <c r="AH24" s="3">
        <f t="shared" si="57"/>
        <v>20919.601205317271</v>
      </c>
      <c r="AI24" s="3">
        <f t="shared" si="57"/>
        <v>25106.45065527449</v>
      </c>
      <c r="AJ24" s="3">
        <f t="shared" ref="AJ24" si="58">+AJ21+AJ22+AJ23</f>
        <v>29889.564546549875</v>
      </c>
    </row>
    <row r="25" spans="2:72" x14ac:dyDescent="0.25">
      <c r="B25" s="1" t="s">
        <v>30</v>
      </c>
      <c r="C25" s="4">
        <v>127</v>
      </c>
      <c r="D25" s="4">
        <v>225</v>
      </c>
      <c r="E25" s="4">
        <v>263</v>
      </c>
      <c r="F25" s="4">
        <v>199</v>
      </c>
      <c r="G25" s="4">
        <v>334</v>
      </c>
      <c r="H25" s="4">
        <v>408</v>
      </c>
      <c r="I25" s="4">
        <v>219</v>
      </c>
      <c r="J25" s="4">
        <v>280</v>
      </c>
      <c r="K25" s="4"/>
      <c r="L25" s="4"/>
      <c r="M25" s="16">
        <v>23.4</v>
      </c>
      <c r="N25" s="16">
        <v>37.6</v>
      </c>
      <c r="O25" s="16">
        <v>57.7</v>
      </c>
      <c r="P25" s="16">
        <v>34.6</v>
      </c>
      <c r="Q25" s="16">
        <v>-21.7</v>
      </c>
      <c r="R25" s="16">
        <v>142.69999999999999</v>
      </c>
      <c r="S25" s="16">
        <v>-125.8</v>
      </c>
      <c r="T25" s="4">
        <v>50</v>
      </c>
      <c r="U25" s="4">
        <v>111</v>
      </c>
      <c r="V25" s="4">
        <v>-144</v>
      </c>
      <c r="W25" s="4">
        <v>60</v>
      </c>
      <c r="X25" s="4">
        <v>-127</v>
      </c>
      <c r="Y25" s="4">
        <v>580</v>
      </c>
      <c r="Z25" s="4">
        <v>-1511</v>
      </c>
      <c r="AA25" s="4">
        <v>88</v>
      </c>
      <c r="AB25" s="4">
        <v>452</v>
      </c>
      <c r="AC25" s="4">
        <v>814</v>
      </c>
      <c r="AD25" s="4">
        <f>+AD24*0.18</f>
        <v>1459.8256770000005</v>
      </c>
      <c r="AE25" s="4">
        <f t="shared" ref="AE25:AJ25" si="59">+AE24*0.18</f>
        <v>1965.8135959884012</v>
      </c>
      <c r="AF25" s="4">
        <f t="shared" si="59"/>
        <v>2478.0062278034097</v>
      </c>
      <c r="AG25" s="4">
        <f t="shared" si="59"/>
        <v>3107.3245681602175</v>
      </c>
      <c r="AH25" s="4">
        <f t="shared" si="59"/>
        <v>3765.5282169571087</v>
      </c>
      <c r="AI25" s="4">
        <f t="shared" si="59"/>
        <v>4519.1611179494075</v>
      </c>
      <c r="AJ25" s="4">
        <f t="shared" si="59"/>
        <v>5380.1216183789775</v>
      </c>
    </row>
    <row r="26" spans="2:72" x14ac:dyDescent="0.25">
      <c r="B26" s="2" t="s">
        <v>31</v>
      </c>
      <c r="C26" s="3">
        <f t="shared" ref="C26:F26" si="60">+C24-C25</f>
        <v>199</v>
      </c>
      <c r="D26" s="3">
        <f t="shared" si="60"/>
        <v>1267</v>
      </c>
      <c r="E26" s="3">
        <f t="shared" si="60"/>
        <v>1224</v>
      </c>
      <c r="F26" s="3">
        <f t="shared" si="60"/>
        <v>1446</v>
      </c>
      <c r="G26" s="3">
        <f>+G24-G25</f>
        <v>1533</v>
      </c>
      <c r="H26" s="3">
        <f t="shared" ref="H26:J26" si="61">+H24-H25</f>
        <v>1429</v>
      </c>
      <c r="I26" s="3">
        <f t="shared" si="61"/>
        <v>1527</v>
      </c>
      <c r="J26" s="3">
        <f t="shared" si="61"/>
        <v>1708</v>
      </c>
      <c r="K26" s="3"/>
      <c r="L26" s="3"/>
      <c r="M26" s="3">
        <f t="shared" ref="M26:S26" si="62">+M24-M25</f>
        <v>22.800000000000068</v>
      </c>
      <c r="N26" s="3">
        <f t="shared" si="62"/>
        <v>47.899999999999928</v>
      </c>
      <c r="O26" s="3">
        <f t="shared" si="62"/>
        <v>84.699999999999832</v>
      </c>
      <c r="P26" s="3">
        <f t="shared" si="62"/>
        <v>69.699999999999989</v>
      </c>
      <c r="Q26" s="3">
        <f t="shared" si="62"/>
        <v>-11.60000000000014</v>
      </c>
      <c r="R26" s="3">
        <f t="shared" si="62"/>
        <v>-278.50000000000023</v>
      </c>
      <c r="S26" s="3">
        <f t="shared" si="62"/>
        <v>-232.09999999999997</v>
      </c>
      <c r="T26" s="3">
        <f t="shared" ref="T26" si="63">+T24-T25</f>
        <v>-263.39999999999964</v>
      </c>
      <c r="U26" s="3">
        <f t="shared" ref="U26:Z26" si="64">+U24-U25</f>
        <v>-83</v>
      </c>
      <c r="V26" s="3">
        <f t="shared" si="64"/>
        <v>323</v>
      </c>
      <c r="W26" s="3">
        <f t="shared" si="64"/>
        <v>360</v>
      </c>
      <c r="X26" s="3">
        <f t="shared" si="64"/>
        <v>1110</v>
      </c>
      <c r="Y26" s="3">
        <f t="shared" si="64"/>
        <v>126</v>
      </c>
      <c r="Z26" s="3">
        <f t="shared" si="64"/>
        <v>4072</v>
      </c>
      <c r="AA26" s="3">
        <f t="shared" ref="AA26:AE26" si="65">+AA24-AA25</f>
        <v>1444</v>
      </c>
      <c r="AB26" s="3">
        <f t="shared" si="65"/>
        <v>208</v>
      </c>
      <c r="AC26" s="3">
        <f t="shared" si="65"/>
        <v>4136</v>
      </c>
      <c r="AD26" s="3">
        <f t="shared" si="65"/>
        <v>6650.3169730000018</v>
      </c>
      <c r="AE26" s="3">
        <f t="shared" si="65"/>
        <v>8955.3730483916042</v>
      </c>
      <c r="AF26" s="3">
        <f t="shared" ref="AF26:AI26" si="66">+AF24-AF25</f>
        <v>11288.695037771091</v>
      </c>
      <c r="AG26" s="3">
        <f t="shared" si="66"/>
        <v>14155.589699396547</v>
      </c>
      <c r="AH26" s="3">
        <f t="shared" si="66"/>
        <v>17154.072988360163</v>
      </c>
      <c r="AI26" s="3">
        <f t="shared" si="66"/>
        <v>20587.289537325083</v>
      </c>
      <c r="AJ26" s="3">
        <f t="shared" ref="AJ26" si="67">+AJ24-AJ25</f>
        <v>24509.442928170898</v>
      </c>
      <c r="AK26" s="3">
        <f t="shared" ref="AK26:BT26" si="68">+AJ26*(1+$AM$10)</f>
        <v>24999.631786734317</v>
      </c>
      <c r="AL26" s="3">
        <f t="shared" si="68"/>
        <v>25499.624422469005</v>
      </c>
      <c r="AM26" s="3">
        <f t="shared" si="68"/>
        <v>26009.616910918387</v>
      </c>
      <c r="AN26" s="3">
        <f t="shared" si="68"/>
        <v>26529.809249136753</v>
      </c>
      <c r="AO26" s="3">
        <f t="shared" si="68"/>
        <v>27060.40543411949</v>
      </c>
      <c r="AP26" s="3">
        <f t="shared" si="68"/>
        <v>27601.613542801879</v>
      </c>
      <c r="AQ26" s="3">
        <f t="shared" si="68"/>
        <v>28153.645813657917</v>
      </c>
      <c r="AR26" s="3">
        <f t="shared" si="68"/>
        <v>28716.718729931075</v>
      </c>
      <c r="AS26" s="3">
        <f t="shared" si="68"/>
        <v>29291.053104529696</v>
      </c>
      <c r="AT26" s="3">
        <f t="shared" si="68"/>
        <v>29876.874166620291</v>
      </c>
      <c r="AU26" s="3">
        <f t="shared" si="68"/>
        <v>30474.411649952697</v>
      </c>
      <c r="AV26" s="3">
        <f t="shared" si="68"/>
        <v>31083.899882951751</v>
      </c>
      <c r="AW26" s="3">
        <f t="shared" si="68"/>
        <v>31705.577880610788</v>
      </c>
      <c r="AX26" s="3">
        <f t="shared" si="68"/>
        <v>32339.689438223006</v>
      </c>
      <c r="AY26" s="3">
        <f t="shared" si="68"/>
        <v>32986.483226987468</v>
      </c>
      <c r="AZ26" s="3">
        <f t="shared" si="68"/>
        <v>33646.212891527219</v>
      </c>
      <c r="BA26" s="3">
        <f t="shared" si="68"/>
        <v>34319.137149357761</v>
      </c>
      <c r="BB26" s="3">
        <f t="shared" si="68"/>
        <v>35005.519892344913</v>
      </c>
      <c r="BC26" s="3">
        <f t="shared" si="68"/>
        <v>35705.63029019181</v>
      </c>
      <c r="BD26" s="3">
        <f t="shared" si="68"/>
        <v>36419.742895995645</v>
      </c>
      <c r="BE26" s="3">
        <f t="shared" si="68"/>
        <v>37148.137753915558</v>
      </c>
      <c r="BF26" s="3">
        <f t="shared" si="68"/>
        <v>37891.10050899387</v>
      </c>
      <c r="BG26" s="3">
        <f t="shared" si="68"/>
        <v>38648.92251917375</v>
      </c>
      <c r="BH26" s="3">
        <f t="shared" si="68"/>
        <v>39421.900969557224</v>
      </c>
      <c r="BI26" s="3">
        <f t="shared" si="68"/>
        <v>40210.338988948366</v>
      </c>
      <c r="BJ26" s="3">
        <f t="shared" si="68"/>
        <v>41014.545768727337</v>
      </c>
      <c r="BK26" s="3">
        <f t="shared" si="68"/>
        <v>41834.836684101887</v>
      </c>
      <c r="BL26" s="3">
        <f t="shared" si="68"/>
        <v>42671.533417783925</v>
      </c>
      <c r="BM26" s="3">
        <f t="shared" si="68"/>
        <v>43524.964086139604</v>
      </c>
      <c r="BN26" s="3">
        <f t="shared" si="68"/>
        <v>44395.463367862394</v>
      </c>
      <c r="BO26" s="3">
        <f t="shared" si="68"/>
        <v>45283.372635219646</v>
      </c>
      <c r="BP26" s="3">
        <f t="shared" si="68"/>
        <v>46189.040087924041</v>
      </c>
      <c r="BQ26" s="3">
        <f t="shared" si="68"/>
        <v>47112.820889682524</v>
      </c>
      <c r="BR26" s="3">
        <f t="shared" si="68"/>
        <v>48055.077307476175</v>
      </c>
      <c r="BS26" s="3">
        <f t="shared" si="68"/>
        <v>49016.178853625701</v>
      </c>
      <c r="BT26" s="3">
        <f t="shared" si="68"/>
        <v>49996.502430698216</v>
      </c>
    </row>
    <row r="27" spans="2:72" x14ac:dyDescent="0.25">
      <c r="B27" s="1" t="s">
        <v>32</v>
      </c>
      <c r="C27" s="4">
        <v>980</v>
      </c>
      <c r="D27" s="4">
        <v>986</v>
      </c>
      <c r="E27" s="4">
        <v>981</v>
      </c>
      <c r="F27" s="4">
        <v>983</v>
      </c>
      <c r="G27" s="4">
        <v>985</v>
      </c>
      <c r="H27" s="4">
        <v>973</v>
      </c>
      <c r="I27" s="4">
        <v>965</v>
      </c>
      <c r="J27" s="4">
        <v>974</v>
      </c>
      <c r="K27" s="4"/>
      <c r="L27" s="4"/>
      <c r="M27" s="4"/>
      <c r="N27" s="4"/>
      <c r="O27" s="4"/>
      <c r="P27" s="4"/>
      <c r="Q27" s="4"/>
      <c r="R27" s="4"/>
      <c r="S27" s="4"/>
      <c r="T27" s="4">
        <v>624</v>
      </c>
      <c r="U27" s="4">
        <v>662</v>
      </c>
      <c r="V27" s="4">
        <v>700</v>
      </c>
      <c r="W27" s="4">
        <v>735</v>
      </c>
      <c r="X27" s="4">
        <v>775</v>
      </c>
      <c r="Y27" s="4">
        <v>775</v>
      </c>
      <c r="Z27" s="4">
        <v>850</v>
      </c>
      <c r="AA27" s="4">
        <v>930</v>
      </c>
      <c r="AB27" s="4">
        <v>997</v>
      </c>
      <c r="AC27" s="4">
        <v>984</v>
      </c>
      <c r="AD27" s="4">
        <f>+AC27*0.985</f>
        <v>969.24</v>
      </c>
      <c r="AE27" s="4">
        <f t="shared" ref="AE27:AI27" si="69">+AD27*0.985</f>
        <v>954.70140000000004</v>
      </c>
      <c r="AF27" s="4">
        <f t="shared" si="69"/>
        <v>940.38087900000005</v>
      </c>
      <c r="AG27" s="4">
        <f t="shared" si="69"/>
        <v>926.27516581500004</v>
      </c>
      <c r="AH27" s="4">
        <f t="shared" si="69"/>
        <v>912.38103832777506</v>
      </c>
      <c r="AI27" s="4">
        <f t="shared" si="69"/>
        <v>898.69532275285837</v>
      </c>
      <c r="AJ27" s="4">
        <f t="shared" ref="AJ27" si="70">+AI27*0.985</f>
        <v>885.21489291156547</v>
      </c>
    </row>
    <row r="28" spans="2:72" x14ac:dyDescent="0.25">
      <c r="B28" s="1" t="s">
        <v>33</v>
      </c>
      <c r="C28" s="6">
        <f>+C26/C27</f>
        <v>0.20306122448979591</v>
      </c>
      <c r="D28" s="6">
        <f t="shared" ref="D28:J28" si="71">+D26/D27</f>
        <v>1.2849898580121704</v>
      </c>
      <c r="E28" s="6">
        <f t="shared" si="71"/>
        <v>1.2477064220183487</v>
      </c>
      <c r="F28" s="6">
        <f t="shared" si="71"/>
        <v>1.4710071210579858</v>
      </c>
      <c r="G28" s="6">
        <f t="shared" si="71"/>
        <v>1.5563451776649746</v>
      </c>
      <c r="H28" s="6">
        <f t="shared" si="71"/>
        <v>1.4686536485097637</v>
      </c>
      <c r="I28" s="6">
        <f t="shared" si="71"/>
        <v>1.5823834196891191</v>
      </c>
      <c r="J28" s="6">
        <f t="shared" si="71"/>
        <v>1.7535934291581108</v>
      </c>
      <c r="T28" s="6">
        <f t="shared" ref="T28" si="72">+T26/T27</f>
        <v>-0.42211538461538406</v>
      </c>
      <c r="U28" s="6">
        <f t="shared" ref="U28:Z28" si="73">+U26/U27</f>
        <v>-0.12537764350453173</v>
      </c>
      <c r="V28" s="6">
        <f t="shared" si="73"/>
        <v>0.46142857142857141</v>
      </c>
      <c r="W28" s="6">
        <f t="shared" si="73"/>
        <v>0.48979591836734693</v>
      </c>
      <c r="X28" s="6">
        <f t="shared" si="73"/>
        <v>1.4322580645161291</v>
      </c>
      <c r="Y28" s="6">
        <f t="shared" si="73"/>
        <v>0.16258064516129031</v>
      </c>
      <c r="Z28" s="6">
        <f t="shared" si="73"/>
        <v>4.790588235294118</v>
      </c>
      <c r="AA28" s="6">
        <f t="shared" ref="AA28:AE28" si="74">+AA26/AA27</f>
        <v>1.5526881720430108</v>
      </c>
      <c r="AB28" s="6">
        <f t="shared" si="74"/>
        <v>0.20862587763289869</v>
      </c>
      <c r="AC28" s="6">
        <f t="shared" si="74"/>
        <v>4.2032520325203251</v>
      </c>
      <c r="AD28" s="6">
        <f t="shared" si="74"/>
        <v>6.8613728003384109</v>
      </c>
      <c r="AE28" s="6">
        <f t="shared" si="74"/>
        <v>9.3802869131558868</v>
      </c>
      <c r="AF28" s="6">
        <f t="shared" ref="AF28:AI28" si="75">+AF26/AF27</f>
        <v>12.004385977919368</v>
      </c>
      <c r="AG28" s="6">
        <f t="shared" si="75"/>
        <v>15.282272721779703</v>
      </c>
      <c r="AH28" s="6">
        <f t="shared" si="75"/>
        <v>18.801435220311454</v>
      </c>
      <c r="AI28" s="6">
        <f t="shared" si="75"/>
        <v>22.90797450048218</v>
      </c>
      <c r="AJ28" s="6">
        <f t="shared" ref="AJ28" si="76">+AJ26/AJ27</f>
        <v>27.687562787784497</v>
      </c>
    </row>
    <row r="30" spans="2:72" x14ac:dyDescent="0.25">
      <c r="B30" s="1" t="s">
        <v>96</v>
      </c>
      <c r="G30" s="7">
        <f>+G2/C2-1</f>
        <v>0.10386740331491717</v>
      </c>
      <c r="H30" s="7">
        <f t="shared" ref="H30:H34" si="77">+H2/D2-1</f>
        <v>9.2875989445910356E-2</v>
      </c>
      <c r="I30" s="7">
        <f t="shared" ref="I30:I34" si="78">+I2/E2-1</f>
        <v>0.11175236096537255</v>
      </c>
      <c r="J30" s="7">
        <f t="shared" ref="J30:J34" si="79">+J2/F2-1</f>
        <v>8.3798882681564324E-2</v>
      </c>
      <c r="U30" s="7">
        <f t="shared" ref="U30:AB30" si="80">+U2/T2-1</f>
        <v>0.10478919361440853</v>
      </c>
      <c r="V30" s="7">
        <f t="shared" si="80"/>
        <v>0.13397554649870314</v>
      </c>
      <c r="W30" s="7">
        <f t="shared" si="80"/>
        <v>0.1613082402143371</v>
      </c>
      <c r="X30" s="7">
        <f t="shared" si="80"/>
        <v>0.13665138001856891</v>
      </c>
      <c r="Y30" s="7">
        <f t="shared" si="80"/>
        <v>0.13811881188118802</v>
      </c>
      <c r="Z30" s="7">
        <f t="shared" si="80"/>
        <v>0.12896911700739455</v>
      </c>
      <c r="AA30" s="7">
        <f t="shared" si="80"/>
        <v>0.1537276054710075</v>
      </c>
      <c r="AB30" s="7">
        <f t="shared" si="80"/>
        <v>0.14059108365336459</v>
      </c>
      <c r="AC30" s="7">
        <f>+AC2/AB2-1</f>
        <v>0.10964719660371824</v>
      </c>
      <c r="AD30" s="7">
        <f t="shared" ref="AD30:AJ30" si="81">+AD2/AC2-1</f>
        <v>8.0000000000000071E-2</v>
      </c>
      <c r="AE30" s="7">
        <f t="shared" si="81"/>
        <v>0.12000000000000011</v>
      </c>
      <c r="AF30" s="7">
        <f t="shared" si="81"/>
        <v>0.10000000000000009</v>
      </c>
      <c r="AG30" s="7">
        <f t="shared" si="81"/>
        <v>0.10000000000000009</v>
      </c>
      <c r="AH30" s="7">
        <f t="shared" si="81"/>
        <v>0.10000000000000009</v>
      </c>
      <c r="AI30" s="7">
        <f t="shared" si="81"/>
        <v>0.10000000000000009</v>
      </c>
      <c r="AJ30" s="7">
        <f t="shared" si="81"/>
        <v>0.10000000000000009</v>
      </c>
    </row>
    <row r="31" spans="2:72" x14ac:dyDescent="0.25">
      <c r="B31" s="1" t="s">
        <v>97</v>
      </c>
      <c r="G31" s="7">
        <f t="shared" ref="G31:G34" si="82">+G3/C3-1</f>
        <v>0.11099796334012213</v>
      </c>
      <c r="H31" s="7">
        <f t="shared" si="77"/>
        <v>0.10151293313811616</v>
      </c>
      <c r="I31" s="7">
        <f t="shared" si="78"/>
        <v>0.10318225650916113</v>
      </c>
      <c r="J31" s="7">
        <f t="shared" si="79"/>
        <v>7.8313253012048278E-2</v>
      </c>
      <c r="U31" s="7">
        <f t="shared" ref="U31:AC31" si="83">+U3/T3-1</f>
        <v>0.37691258900166624</v>
      </c>
      <c r="V31" s="7">
        <f t="shared" si="83"/>
        <v>0.27665309715040154</v>
      </c>
      <c r="W31" s="7">
        <f t="shared" si="83"/>
        <v>0.2397552462619037</v>
      </c>
      <c r="X31" s="7">
        <f t="shared" si="83"/>
        <v>0.25855896562510861</v>
      </c>
      <c r="Y31" s="7">
        <f t="shared" si="83"/>
        <v>0.2333609500138083</v>
      </c>
      <c r="Z31" s="7">
        <f t="shared" si="83"/>
        <v>0.20398566950291097</v>
      </c>
      <c r="AA31" s="7">
        <f t="shared" si="83"/>
        <v>0.2040171099125907</v>
      </c>
      <c r="AB31" s="7">
        <f t="shared" si="83"/>
        <v>0.13824528884769838</v>
      </c>
      <c r="AC31" s="7">
        <f t="shared" si="83"/>
        <v>0.11887637399918582</v>
      </c>
      <c r="AD31" s="7">
        <f t="shared" ref="AD31:AJ31" si="84">+AD3/AC3-1</f>
        <v>9.000000000000008E-2</v>
      </c>
      <c r="AE31" s="7">
        <f t="shared" si="84"/>
        <v>0.1100000000000001</v>
      </c>
      <c r="AF31" s="7">
        <f t="shared" si="84"/>
        <v>0.10000000000000009</v>
      </c>
      <c r="AG31" s="7">
        <f t="shared" si="84"/>
        <v>0.10000000000000009</v>
      </c>
      <c r="AH31" s="7">
        <f t="shared" si="84"/>
        <v>0.10000000000000009</v>
      </c>
      <c r="AI31" s="7">
        <f t="shared" si="84"/>
        <v>0.10000000000000009</v>
      </c>
      <c r="AJ31" s="7">
        <f t="shared" si="84"/>
        <v>0.10000000000000009</v>
      </c>
    </row>
    <row r="32" spans="2:72" x14ac:dyDescent="0.25">
      <c r="B32" s="1" t="s">
        <v>98</v>
      </c>
      <c r="G32" s="7">
        <f t="shared" si="82"/>
        <v>9.6362476068921454E-2</v>
      </c>
      <c r="H32" s="7">
        <f t="shared" si="77"/>
        <v>9.0354090354090255E-2</v>
      </c>
      <c r="I32" s="7">
        <f t="shared" si="78"/>
        <v>8.2443653618030854E-2</v>
      </c>
      <c r="J32" s="7">
        <f t="shared" si="79"/>
        <v>0.11511627906976751</v>
      </c>
      <c r="U32" s="7">
        <f t="shared" ref="U32:AC32" si="85">+U4/T4-1</f>
        <v>0.38830001341741593</v>
      </c>
      <c r="V32" s="7">
        <f t="shared" si="85"/>
        <v>0.39325408330917155</v>
      </c>
      <c r="W32" s="7">
        <f t="shared" si="85"/>
        <v>0.33823529411764719</v>
      </c>
      <c r="X32" s="7">
        <f t="shared" si="85"/>
        <v>0.47936968691685666</v>
      </c>
      <c r="Y32" s="7">
        <f t="shared" si="85"/>
        <v>0.56727400140154161</v>
      </c>
      <c r="Z32" s="7">
        <f t="shared" si="85"/>
        <v>-0.25687458081824277</v>
      </c>
      <c r="AA32" s="7">
        <f t="shared" si="85"/>
        <v>0.35649819494584833</v>
      </c>
      <c r="AB32" s="7">
        <f t="shared" si="85"/>
        <v>0.32335329341317376</v>
      </c>
      <c r="AC32" s="7">
        <f t="shared" si="85"/>
        <v>0.10792693145634313</v>
      </c>
      <c r="AD32" s="7">
        <f t="shared" ref="AD32:AJ32" si="86">+AD4/AC4-1</f>
        <v>9.000000000000008E-2</v>
      </c>
      <c r="AE32" s="7">
        <f t="shared" si="86"/>
        <v>0.10000000000000009</v>
      </c>
      <c r="AF32" s="7">
        <f t="shared" si="86"/>
        <v>0.10000000000000009</v>
      </c>
      <c r="AG32" s="7">
        <f t="shared" si="86"/>
        <v>0.10000000000000009</v>
      </c>
      <c r="AH32" s="7">
        <f t="shared" si="86"/>
        <v>0.10000000000000009</v>
      </c>
      <c r="AI32" s="7">
        <f t="shared" si="86"/>
        <v>0.10000000000000009</v>
      </c>
      <c r="AJ32" s="7">
        <f t="shared" si="86"/>
        <v>0.10000000000000009</v>
      </c>
    </row>
    <row r="33" spans="2:36" x14ac:dyDescent="0.25">
      <c r="B33" s="1" t="s">
        <v>99</v>
      </c>
      <c r="G33" s="7">
        <f t="shared" si="82"/>
        <v>9.572649572649583E-2</v>
      </c>
      <c r="H33" s="7">
        <f t="shared" si="77"/>
        <v>5.6542810985460434E-2</v>
      </c>
      <c r="I33" s="7">
        <f t="shared" si="78"/>
        <v>8.4552845528455212E-2</v>
      </c>
      <c r="J33" s="7">
        <f t="shared" si="79"/>
        <v>6.5149136577707933E-2</v>
      </c>
      <c r="U33" s="7">
        <f t="shared" ref="U33:AC33" si="87">+U5/T5-1</f>
        <v>0.29447852760736204</v>
      </c>
      <c r="V33" s="7">
        <f t="shared" si="87"/>
        <v>0.42684604800489212</v>
      </c>
      <c r="W33" s="7">
        <f t="shared" si="87"/>
        <v>0.44637308475302717</v>
      </c>
      <c r="X33" s="7">
        <f t="shared" si="87"/>
        <v>0.40603007630194821</v>
      </c>
      <c r="Y33" s="7">
        <f t="shared" si="87"/>
        <v>0.3203371970495259</v>
      </c>
      <c r="Z33" s="7">
        <f t="shared" si="87"/>
        <v>0.25019952114924182</v>
      </c>
      <c r="AA33" s="7">
        <f t="shared" si="87"/>
        <v>0.24545164379189277</v>
      </c>
      <c r="AB33" s="7">
        <f t="shared" si="87"/>
        <v>0.15735520246027668</v>
      </c>
      <c r="AC33" s="7">
        <f t="shared" si="87"/>
        <v>8.7688219663418998E-2</v>
      </c>
      <c r="AD33" s="7">
        <f t="shared" ref="AD33:AJ33" si="88">+AD5/AC5-1</f>
        <v>9.000000000000008E-2</v>
      </c>
      <c r="AE33" s="7">
        <f t="shared" si="88"/>
        <v>0.10000000000000009</v>
      </c>
      <c r="AF33" s="7">
        <f t="shared" si="88"/>
        <v>0.10000000000000009</v>
      </c>
      <c r="AG33" s="7">
        <f t="shared" si="88"/>
        <v>0.10000000000000009</v>
      </c>
      <c r="AH33" s="7">
        <f t="shared" si="88"/>
        <v>0.10000000000000009</v>
      </c>
      <c r="AI33" s="7">
        <f t="shared" si="88"/>
        <v>0.10000000000000009</v>
      </c>
      <c r="AJ33" s="7">
        <f t="shared" si="88"/>
        <v>0.10000000000000009</v>
      </c>
    </row>
    <row r="34" spans="2:36" x14ac:dyDescent="0.25">
      <c r="B34" s="1" t="s">
        <v>100</v>
      </c>
      <c r="G34" s="7">
        <f t="shared" si="82"/>
        <v>0.24226348364279393</v>
      </c>
      <c r="H34" s="7">
        <f t="shared" si="77"/>
        <v>0.13153456998313651</v>
      </c>
      <c r="I34" s="7">
        <f t="shared" si="78"/>
        <v>5.4618473895582387E-2</v>
      </c>
      <c r="J34" s="7">
        <f t="shared" si="79"/>
        <v>5.4087277197295558E-2</v>
      </c>
      <c r="U34" s="7"/>
      <c r="V34" s="7"/>
      <c r="W34" s="7"/>
      <c r="X34" s="7"/>
      <c r="Y34" s="7"/>
      <c r="Z34" s="7"/>
      <c r="AA34" s="7">
        <f t="shared" ref="AA34:AC34" si="89">+AA6/Z6-1</f>
        <v>0.2819383259911894</v>
      </c>
      <c r="AB34" s="7">
        <f t="shared" si="89"/>
        <v>0.14670896114195076</v>
      </c>
      <c r="AC34" s="7">
        <f t="shared" si="89"/>
        <v>0.1961733517750115</v>
      </c>
      <c r="AD34" s="7">
        <f t="shared" ref="AD34:AJ34" si="90">+AD6/AC6-1</f>
        <v>0.12999999999999989</v>
      </c>
      <c r="AE34" s="7">
        <f t="shared" si="90"/>
        <v>0.16999999999999993</v>
      </c>
      <c r="AF34" s="7">
        <f t="shared" si="90"/>
        <v>0.12999999999999989</v>
      </c>
      <c r="AG34" s="7">
        <f t="shared" si="90"/>
        <v>0.12999999999999989</v>
      </c>
      <c r="AH34" s="7">
        <f t="shared" si="90"/>
        <v>0.12999999999999989</v>
      </c>
      <c r="AI34" s="7">
        <f t="shared" si="90"/>
        <v>0.12999999999999989</v>
      </c>
      <c r="AJ34" s="7">
        <f t="shared" si="90"/>
        <v>0.12999999999999989</v>
      </c>
    </row>
    <row r="35" spans="2:36" x14ac:dyDescent="0.25">
      <c r="B35" s="1" t="s">
        <v>34</v>
      </c>
      <c r="C35" s="5"/>
      <c r="D35" s="5"/>
      <c r="E35" s="5"/>
      <c r="F35" s="5"/>
      <c r="G35" s="7">
        <f>+G11/C11-1</f>
        <v>0.10743300594155447</v>
      </c>
      <c r="H35" s="7">
        <f>+H11/D11-1</f>
        <v>8.3924212484017158E-2</v>
      </c>
      <c r="I35" s="7">
        <f>+I11/E11-1</f>
        <v>8.3027522935779752E-2</v>
      </c>
      <c r="J35" s="7">
        <f>+J11/F11-1</f>
        <v>7.6020243350920724E-2</v>
      </c>
      <c r="M35" s="7"/>
      <c r="N35" s="7">
        <f t="shared" ref="N35" si="91">+N11/M11-1</f>
        <v>0.43822625884867095</v>
      </c>
      <c r="O35" s="7">
        <f t="shared" ref="O35" si="92">+O11/N11-1</f>
        <v>0.21248142644873691</v>
      </c>
      <c r="P35" s="7">
        <f t="shared" ref="P35" si="93">+P11/O11-1</f>
        <v>0.26922487745098045</v>
      </c>
      <c r="Q35" s="7">
        <f t="shared" ref="Q35" si="94">+Q11/P11-1</f>
        <v>0.36775089010922701</v>
      </c>
      <c r="R35" s="7">
        <f t="shared" ref="R35" si="95">+R11/Q11-1</f>
        <v>0.42581072137657183</v>
      </c>
      <c r="S35" s="7">
        <f t="shared" ref="S35" si="96">+S11/R11-1</f>
        <v>0.25974749350167103</v>
      </c>
      <c r="T35" s="7">
        <f t="shared" ref="T35" si="97">+T11/S11-1</f>
        <v>0.31997052321296993</v>
      </c>
      <c r="U35" s="7">
        <f t="shared" ref="U35:AJ35" si="98">+U11/T11-1</f>
        <v>0.24069525085603694</v>
      </c>
      <c r="V35" s="7">
        <f t="shared" si="98"/>
        <v>0.26548672566371678</v>
      </c>
      <c r="W35" s="7">
        <f t="shared" si="98"/>
        <v>0.24925921536091034</v>
      </c>
      <c r="X35" s="7">
        <f t="shared" si="98"/>
        <v>0.26015180265654658</v>
      </c>
      <c r="Y35" s="7">
        <f t="shared" si="98"/>
        <v>0.28730612859509108</v>
      </c>
      <c r="Z35" s="7">
        <f t="shared" si="98"/>
        <v>0.24295239209264241</v>
      </c>
      <c r="AA35" s="7">
        <f t="shared" si="98"/>
        <v>0.24656502917372491</v>
      </c>
      <c r="AB35" s="7">
        <f t="shared" si="98"/>
        <v>0.18345160803261362</v>
      </c>
      <c r="AC35" s="7">
        <f t="shared" si="98"/>
        <v>0.11179510079101806</v>
      </c>
      <c r="AD35" s="8">
        <f t="shared" si="98"/>
        <v>8.9786556502280845E-2</v>
      </c>
      <c r="AE35" s="8">
        <f t="shared" si="98"/>
        <v>0.11307764377470142</v>
      </c>
      <c r="AF35" s="8">
        <f t="shared" si="98"/>
        <v>0.10079279692671328</v>
      </c>
      <c r="AG35" s="8">
        <f t="shared" si="98"/>
        <v>0.10118399935387812</v>
      </c>
      <c r="AH35" s="8">
        <f t="shared" si="98"/>
        <v>0.10156122094914388</v>
      </c>
      <c r="AI35" s="8">
        <f t="shared" si="98"/>
        <v>0.10192527228830017</v>
      </c>
      <c r="AJ35" s="8">
        <f t="shared" si="98"/>
        <v>0.10227693813463379</v>
      </c>
    </row>
    <row r="36" spans="2:36" x14ac:dyDescent="0.25">
      <c r="C36" s="5"/>
      <c r="D36" s="5"/>
      <c r="E36" s="5"/>
      <c r="F36" s="5"/>
      <c r="G36" s="7"/>
      <c r="H36" s="5"/>
      <c r="I36" s="5"/>
      <c r="J36" s="5"/>
      <c r="U36" s="5"/>
      <c r="V36" s="5"/>
      <c r="W36" s="5"/>
      <c r="X36" s="5"/>
      <c r="Y36" s="5"/>
      <c r="Z36" s="5"/>
      <c r="AA36" s="5"/>
      <c r="AB36" s="5"/>
      <c r="AC36" s="5"/>
      <c r="AD36" s="5"/>
      <c r="AE36" s="5"/>
      <c r="AF36" s="5"/>
      <c r="AG36" s="5"/>
      <c r="AH36" s="5"/>
      <c r="AI36" s="5"/>
      <c r="AJ36" s="5"/>
    </row>
    <row r="37" spans="2:36" x14ac:dyDescent="0.25">
      <c r="B37" s="1" t="s">
        <v>35</v>
      </c>
      <c r="C37" s="7">
        <f t="shared" ref="C37:J37" si="99">+C15/C11</f>
        <v>0.74233054444040258</v>
      </c>
      <c r="D37" s="7">
        <f t="shared" si="99"/>
        <v>0.75438800418458674</v>
      </c>
      <c r="E37" s="7">
        <f t="shared" si="99"/>
        <v>0.75286697247706424</v>
      </c>
      <c r="F37" s="7">
        <f t="shared" si="99"/>
        <v>0.76870894799181655</v>
      </c>
      <c r="G37" s="7">
        <f t="shared" si="99"/>
        <v>0.7632760319719698</v>
      </c>
      <c r="H37" s="7">
        <f t="shared" si="99"/>
        <v>0.76847184986595174</v>
      </c>
      <c r="I37" s="7">
        <f t="shared" si="99"/>
        <v>0.77710715798390517</v>
      </c>
      <c r="J37" s="7">
        <f t="shared" si="99"/>
        <v>0.77814470129090363</v>
      </c>
      <c r="M37" s="7">
        <f t="shared" ref="M37:T37" si="100">+M15/M11</f>
        <v>0.77080272472285294</v>
      </c>
      <c r="N37" s="7">
        <f t="shared" si="100"/>
        <v>0.79522659732540857</v>
      </c>
      <c r="O37" s="7">
        <f t="shared" si="100"/>
        <v>0.80246629901960775</v>
      </c>
      <c r="P37" s="7">
        <f t="shared" si="100"/>
        <v>0.80459839478607209</v>
      </c>
      <c r="Q37" s="7">
        <f t="shared" si="100"/>
        <v>0.78429296271784688</v>
      </c>
      <c r="R37" s="7">
        <f t="shared" si="100"/>
        <v>0.7298551800965466</v>
      </c>
      <c r="S37" s="7">
        <f t="shared" si="100"/>
        <v>0.76212232866617535</v>
      </c>
      <c r="T37" s="7">
        <f t="shared" si="100"/>
        <v>0.75993747208575257</v>
      </c>
      <c r="U37" s="7">
        <f t="shared" ref="U37:AJ37" si="101">+U15/U11</f>
        <v>0.75191240437978102</v>
      </c>
      <c r="V37" s="7">
        <f t="shared" si="101"/>
        <v>0.73521393860376916</v>
      </c>
      <c r="W37" s="7">
        <f t="shared" si="101"/>
        <v>0.7369070208728653</v>
      </c>
      <c r="X37" s="7">
        <f t="shared" si="101"/>
        <v>0.74017467248908297</v>
      </c>
      <c r="Y37" s="7">
        <f t="shared" si="101"/>
        <v>0.75231021172066903</v>
      </c>
      <c r="Z37" s="7">
        <f t="shared" si="101"/>
        <v>0.74411820063993972</v>
      </c>
      <c r="AA37" s="7">
        <f t="shared" si="101"/>
        <v>0.7347878604861845</v>
      </c>
      <c r="AB37" s="7">
        <f t="shared" si="101"/>
        <v>0.73335034447563152</v>
      </c>
      <c r="AC37" s="7">
        <f t="shared" si="101"/>
        <v>0.75497030725535763</v>
      </c>
      <c r="AD37" s="7">
        <f t="shared" si="101"/>
        <v>0.76090070627369744</v>
      </c>
      <c r="AE37" s="7">
        <f t="shared" si="101"/>
        <v>0.77068493522680503</v>
      </c>
      <c r="AF37" s="7">
        <f t="shared" si="101"/>
        <v>0.77749953080456224</v>
      </c>
      <c r="AG37" s="7">
        <f t="shared" si="101"/>
        <v>0.78808725580389583</v>
      </c>
      <c r="AH37" s="7">
        <f t="shared" si="101"/>
        <v>0.79145968693785751</v>
      </c>
      <c r="AI37" s="7">
        <f t="shared" si="101"/>
        <v>0.7946280281328133</v>
      </c>
      <c r="AJ37" s="7">
        <f t="shared" si="101"/>
        <v>0.79760309464308665</v>
      </c>
    </row>
    <row r="38" spans="2:36" x14ac:dyDescent="0.25">
      <c r="B38" s="1" t="s">
        <v>36</v>
      </c>
      <c r="C38" s="7">
        <f t="shared" ref="C38:J38" si="102">+C21/C11</f>
        <v>4.9957560324966656E-2</v>
      </c>
      <c r="D38" s="7">
        <f t="shared" si="102"/>
        <v>0.17156805765430663</v>
      </c>
      <c r="E38" s="7">
        <f t="shared" si="102"/>
        <v>0.17213302752293577</v>
      </c>
      <c r="F38" s="7">
        <f t="shared" si="102"/>
        <v>0.17465274038979217</v>
      </c>
      <c r="G38" s="7">
        <f t="shared" si="102"/>
        <v>0.18712361765027921</v>
      </c>
      <c r="H38" s="7">
        <f t="shared" si="102"/>
        <v>0.1912064343163539</v>
      </c>
      <c r="I38" s="7">
        <f t="shared" si="102"/>
        <v>0.20044472681067343</v>
      </c>
      <c r="J38" s="7">
        <f t="shared" si="102"/>
        <v>0.18212748924246974</v>
      </c>
      <c r="M38" s="7">
        <f t="shared" ref="M38:T38" si="103">+M21/M11</f>
        <v>2.7113663683718536E-2</v>
      </c>
      <c r="N38" s="7">
        <f t="shared" si="103"/>
        <v>5.9156760772659675E-2</v>
      </c>
      <c r="O38" s="7">
        <f t="shared" si="103"/>
        <v>8.8311887254901841E-2</v>
      </c>
      <c r="P38" s="7">
        <f t="shared" si="103"/>
        <v>5.8837728561945572E-2</v>
      </c>
      <c r="Q38" s="7">
        <f t="shared" si="103"/>
        <v>-1.5486432825943145E-2</v>
      </c>
      <c r="R38" s="7">
        <f t="shared" si="103"/>
        <v>-3.6731031068201594E-2</v>
      </c>
      <c r="S38" s="7">
        <f t="shared" si="103"/>
        <v>-7.0253009088676002E-2</v>
      </c>
      <c r="T38" s="7">
        <f t="shared" si="103"/>
        <v>-2.7244305493523826E-2</v>
      </c>
      <c r="U38" s="7">
        <f t="shared" ref="U38:AJ38" si="104">+U21/U11</f>
        <v>1.184940752962352E-2</v>
      </c>
      <c r="V38" s="7">
        <f t="shared" si="104"/>
        <v>2.5838568211449569E-2</v>
      </c>
      <c r="W38" s="7">
        <f t="shared" si="104"/>
        <v>4.3074003795066415E-2</v>
      </c>
      <c r="X38" s="7">
        <f t="shared" si="104"/>
        <v>4.0280078301460624E-2</v>
      </c>
      <c r="Y38" s="7">
        <f t="shared" si="104"/>
        <v>1.7370452684524505E-2</v>
      </c>
      <c r="Z38" s="7">
        <f t="shared" si="104"/>
        <v>2.1409749670619236E-2</v>
      </c>
      <c r="AA38" s="7">
        <f t="shared" si="104"/>
        <v>2.0685489959232976E-2</v>
      </c>
      <c r="AB38" s="7">
        <f t="shared" si="104"/>
        <v>3.2852768563409032E-2</v>
      </c>
      <c r="AC38" s="7">
        <f t="shared" si="104"/>
        <v>0.14375878589666352</v>
      </c>
      <c r="AD38" s="7">
        <f t="shared" si="104"/>
        <v>0.19831110975976066</v>
      </c>
      <c r="AE38" s="7">
        <f t="shared" si="104"/>
        <v>0.2352106281273581</v>
      </c>
      <c r="AF38" s="7">
        <f t="shared" si="104"/>
        <v>0.26326559955987533</v>
      </c>
      <c r="AG38" s="7">
        <f t="shared" si="104"/>
        <v>0.29407417760200288</v>
      </c>
      <c r="AH38" s="7">
        <f t="shared" si="104"/>
        <v>0.31668523356817507</v>
      </c>
      <c r="AI38" s="7">
        <f t="shared" si="104"/>
        <v>0.33814716919241439</v>
      </c>
      <c r="AJ38" s="7">
        <f t="shared" si="104"/>
        <v>0.35850772740752446</v>
      </c>
    </row>
    <row r="40" spans="2:36" x14ac:dyDescent="0.25">
      <c r="B40" s="1" t="s">
        <v>76</v>
      </c>
      <c r="C40" s="4"/>
      <c r="D40" s="4"/>
      <c r="E40" s="4"/>
      <c r="F40" s="4"/>
      <c r="G40" s="4">
        <f>+G41+G42+G49-G58-G59</f>
        <v>13219</v>
      </c>
      <c r="H40" s="4"/>
      <c r="I40" s="4">
        <f>+I41+I42+I49-I58-I59</f>
        <v>9170</v>
      </c>
      <c r="J40" s="4"/>
      <c r="T40" s="4"/>
      <c r="U40" s="4"/>
      <c r="V40" s="4"/>
      <c r="W40" s="4"/>
      <c r="X40" s="4"/>
      <c r="Y40" s="4"/>
      <c r="Z40" s="4"/>
      <c r="AA40" s="4"/>
      <c r="AB40" s="4">
        <f t="shared" ref="AB40:AC40" si="105">+AB41+AB42+AB49-AB58-AB59</f>
        <v>6579</v>
      </c>
      <c r="AC40" s="4">
        <f t="shared" si="105"/>
        <v>9616</v>
      </c>
      <c r="AD40" s="4">
        <f>+AC40+AD26</f>
        <v>16266.316973000001</v>
      </c>
      <c r="AE40" s="4">
        <f t="shared" ref="AE40:AJ40" si="106">+AD40+AE26</f>
        <v>25221.690021391605</v>
      </c>
      <c r="AF40" s="4">
        <f t="shared" si="106"/>
        <v>36510.385059162698</v>
      </c>
      <c r="AG40" s="4">
        <f t="shared" si="106"/>
        <v>50665.974758559241</v>
      </c>
      <c r="AH40" s="4">
        <f t="shared" si="106"/>
        <v>67820.047746919401</v>
      </c>
      <c r="AI40" s="4">
        <f t="shared" si="106"/>
        <v>88407.337284244481</v>
      </c>
      <c r="AJ40" s="4">
        <f t="shared" si="106"/>
        <v>112916.78021241538</v>
      </c>
    </row>
    <row r="41" spans="2:36" x14ac:dyDescent="0.25">
      <c r="B41" s="1" t="s">
        <v>4</v>
      </c>
      <c r="C41" s="4"/>
      <c r="D41" s="4"/>
      <c r="E41" s="4"/>
      <c r="F41" s="4"/>
      <c r="G41" s="4">
        <v>9958</v>
      </c>
      <c r="H41" s="4"/>
      <c r="I41" s="4">
        <v>7997</v>
      </c>
      <c r="J41" s="4"/>
      <c r="T41" s="4"/>
      <c r="U41" s="4"/>
      <c r="V41" s="4"/>
      <c r="W41" s="4"/>
      <c r="X41" s="4"/>
      <c r="Y41" s="4"/>
      <c r="Z41" s="4"/>
      <c r="AA41" s="4"/>
      <c r="AB41" s="4">
        <v>7016</v>
      </c>
      <c r="AC41" s="4">
        <v>8472</v>
      </c>
    </row>
    <row r="42" spans="2:36" x14ac:dyDescent="0.25">
      <c r="B42" s="1" t="s">
        <v>52</v>
      </c>
      <c r="C42" s="4"/>
      <c r="D42" s="4"/>
      <c r="E42" s="4"/>
      <c r="F42" s="4"/>
      <c r="G42" s="4">
        <v>7712</v>
      </c>
      <c r="H42" s="4"/>
      <c r="I42" s="4">
        <v>4760</v>
      </c>
      <c r="J42" s="4"/>
      <c r="T42" s="4"/>
      <c r="U42" s="4"/>
      <c r="V42" s="4"/>
      <c r="W42" s="4"/>
      <c r="X42" s="4"/>
      <c r="Y42" s="4"/>
      <c r="Z42" s="4"/>
      <c r="AA42" s="4"/>
      <c r="AB42" s="4">
        <v>5492</v>
      </c>
      <c r="AC42" s="4">
        <v>5722</v>
      </c>
    </row>
    <row r="43" spans="2:36" x14ac:dyDescent="0.25">
      <c r="B43" s="1" t="s">
        <v>53</v>
      </c>
      <c r="C43" s="4"/>
      <c r="D43" s="4"/>
      <c r="E43" s="4"/>
      <c r="F43" s="4"/>
      <c r="G43" s="4">
        <v>4273</v>
      </c>
      <c r="H43" s="4"/>
      <c r="I43" s="4">
        <v>4741</v>
      </c>
      <c r="J43" s="4"/>
      <c r="T43" s="4"/>
      <c r="U43" s="4"/>
      <c r="V43" s="4"/>
      <c r="W43" s="4"/>
      <c r="X43" s="4"/>
      <c r="Y43" s="4"/>
      <c r="Z43" s="4"/>
      <c r="AA43" s="4"/>
      <c r="AB43" s="4">
        <v>10755</v>
      </c>
      <c r="AC43" s="4">
        <v>11414</v>
      </c>
    </row>
    <row r="44" spans="2:36" x14ac:dyDescent="0.25">
      <c r="B44" s="1" t="s">
        <v>54</v>
      </c>
      <c r="C44" s="4"/>
      <c r="D44" s="4"/>
      <c r="E44" s="4"/>
      <c r="F44" s="4"/>
      <c r="G44" s="4">
        <v>1865</v>
      </c>
      <c r="I44" s="1">
        <v>1836</v>
      </c>
      <c r="AB44" s="4">
        <v>1776</v>
      </c>
      <c r="AC44" s="4">
        <v>1905</v>
      </c>
    </row>
    <row r="45" spans="2:36" x14ac:dyDescent="0.25">
      <c r="B45" s="1" t="s">
        <v>56</v>
      </c>
      <c r="C45" s="4"/>
      <c r="D45" s="4"/>
      <c r="E45" s="4"/>
      <c r="F45" s="4"/>
      <c r="G45" s="4">
        <v>1796</v>
      </c>
      <c r="I45" s="1">
        <v>2091</v>
      </c>
      <c r="AB45" s="4">
        <v>1356</v>
      </c>
      <c r="AC45" s="4">
        <v>1561</v>
      </c>
    </row>
    <row r="46" spans="2:36" x14ac:dyDescent="0.25">
      <c r="B46" s="1" t="s">
        <v>57</v>
      </c>
      <c r="C46" s="4"/>
      <c r="D46" s="4"/>
      <c r="E46" s="4"/>
      <c r="F46" s="4"/>
      <c r="G46" s="4">
        <v>3506</v>
      </c>
      <c r="I46" s="1">
        <v>3416</v>
      </c>
      <c r="AB46" s="4">
        <v>3702</v>
      </c>
      <c r="AC46" s="4">
        <v>3689</v>
      </c>
    </row>
    <row r="47" spans="2:36" x14ac:dyDescent="0.25">
      <c r="B47" s="1" t="s">
        <v>58</v>
      </c>
      <c r="C47" s="4"/>
      <c r="D47" s="4"/>
      <c r="E47" s="4"/>
      <c r="F47" s="4"/>
      <c r="G47" s="4">
        <v>2255</v>
      </c>
      <c r="I47" s="1">
        <v>2167</v>
      </c>
      <c r="AB47" s="4">
        <v>2890</v>
      </c>
      <c r="AC47" s="4">
        <v>2366</v>
      </c>
    </row>
    <row r="48" spans="2:36" x14ac:dyDescent="0.25">
      <c r="B48" s="1" t="s">
        <v>59</v>
      </c>
      <c r="C48" s="4"/>
      <c r="D48" s="4"/>
      <c r="E48" s="4"/>
      <c r="F48" s="4"/>
      <c r="G48" s="4">
        <v>2286</v>
      </c>
      <c r="I48" s="1">
        <v>2121</v>
      </c>
      <c r="AB48" s="4">
        <v>2697</v>
      </c>
      <c r="AC48" s="4">
        <v>2515</v>
      </c>
    </row>
    <row r="49" spans="2:29" x14ac:dyDescent="0.25">
      <c r="B49" s="1" t="s">
        <v>60</v>
      </c>
      <c r="C49" s="4"/>
      <c r="D49" s="4"/>
      <c r="E49" s="4"/>
      <c r="F49" s="4"/>
      <c r="G49" s="4">
        <v>4978</v>
      </c>
      <c r="I49" s="1">
        <v>4845</v>
      </c>
      <c r="AB49" s="4">
        <v>4672</v>
      </c>
      <c r="AC49" s="4">
        <v>4848</v>
      </c>
    </row>
    <row r="50" spans="2:29" x14ac:dyDescent="0.25">
      <c r="B50" s="1" t="s">
        <v>61</v>
      </c>
      <c r="C50" s="4"/>
      <c r="D50" s="4"/>
      <c r="E50" s="4"/>
      <c r="F50" s="4"/>
      <c r="G50" s="4">
        <v>48940</v>
      </c>
      <c r="I50" s="1">
        <v>49093</v>
      </c>
      <c r="AB50" s="4">
        <v>48568</v>
      </c>
      <c r="AC50" s="4">
        <v>48620</v>
      </c>
    </row>
    <row r="51" spans="2:29" x14ac:dyDescent="0.25">
      <c r="B51" s="1" t="s">
        <v>62</v>
      </c>
      <c r="C51" s="4"/>
      <c r="D51" s="4"/>
      <c r="E51" s="4"/>
      <c r="F51" s="4"/>
      <c r="G51" s="4">
        <v>4869</v>
      </c>
      <c r="I51" s="1">
        <v>4119</v>
      </c>
      <c r="AB51" s="4">
        <v>7125</v>
      </c>
      <c r="AC51" s="4">
        <v>5278</v>
      </c>
    </row>
    <row r="52" spans="2:29" x14ac:dyDescent="0.25">
      <c r="B52" s="1" t="s">
        <v>63</v>
      </c>
      <c r="C52" s="4"/>
      <c r="D52" s="4"/>
      <c r="E52" s="4"/>
      <c r="F52" s="4"/>
      <c r="G52" s="4">
        <v>3742</v>
      </c>
      <c r="I52" s="1">
        <v>4209</v>
      </c>
      <c r="AB52" s="4">
        <v>2800</v>
      </c>
      <c r="AC52" s="4">
        <v>3433</v>
      </c>
    </row>
    <row r="53" spans="2:29" x14ac:dyDescent="0.25">
      <c r="B53" s="1" t="s">
        <v>64</v>
      </c>
      <c r="C53" s="4"/>
      <c r="D53" s="4"/>
      <c r="E53" s="4"/>
      <c r="F53" s="4"/>
      <c r="G53" s="4">
        <f>+SUM(G41:G52)</f>
        <v>96180</v>
      </c>
      <c r="I53" s="4">
        <f>+SUM(I41:I52)</f>
        <v>91395</v>
      </c>
      <c r="AB53" s="4">
        <f t="shared" ref="AB53" si="107">+SUM(AB41:AB52)</f>
        <v>98849</v>
      </c>
      <c r="AC53" s="4">
        <f>+SUM(AC41:AC52)</f>
        <v>99823</v>
      </c>
    </row>
    <row r="54" spans="2:29" x14ac:dyDescent="0.25">
      <c r="C54" s="4"/>
      <c r="D54" s="4"/>
      <c r="E54" s="4"/>
      <c r="F54" s="4"/>
      <c r="G54" s="4"/>
      <c r="AB54" s="4"/>
      <c r="AC54" s="4"/>
    </row>
    <row r="55" spans="2:29" x14ac:dyDescent="0.25">
      <c r="B55" s="1" t="s">
        <v>65</v>
      </c>
      <c r="C55" s="4"/>
      <c r="D55" s="4"/>
      <c r="E55" s="4"/>
      <c r="F55" s="4"/>
      <c r="G55" s="4">
        <v>5520</v>
      </c>
      <c r="I55" s="1">
        <v>5331</v>
      </c>
      <c r="AB55" s="4">
        <v>6743</v>
      </c>
      <c r="AC55" s="4">
        <v>6111</v>
      </c>
    </row>
    <row r="56" spans="2:29" x14ac:dyDescent="0.25">
      <c r="B56" s="1" t="s">
        <v>66</v>
      </c>
      <c r="C56" s="4"/>
      <c r="D56" s="4"/>
      <c r="E56" s="4"/>
      <c r="F56" s="4"/>
      <c r="G56" s="4">
        <v>568</v>
      </c>
      <c r="I56" s="1">
        <v>572</v>
      </c>
      <c r="AB56" s="4">
        <v>590</v>
      </c>
      <c r="AC56" s="4">
        <v>518</v>
      </c>
    </row>
    <row r="57" spans="2:29" x14ac:dyDescent="0.25">
      <c r="B57" s="1" t="s">
        <v>67</v>
      </c>
      <c r="C57" s="4"/>
      <c r="D57" s="4"/>
      <c r="E57" s="4"/>
      <c r="F57" s="4"/>
      <c r="G57" s="4">
        <v>16061</v>
      </c>
      <c r="I57" s="1">
        <v>13472</v>
      </c>
      <c r="AB57" s="4">
        <v>17376</v>
      </c>
      <c r="AC57" s="4">
        <v>19003</v>
      </c>
    </row>
    <row r="58" spans="2:29" x14ac:dyDescent="0.25">
      <c r="B58" s="1" t="s">
        <v>68</v>
      </c>
      <c r="C58" s="4"/>
      <c r="D58" s="4"/>
      <c r="E58" s="4"/>
      <c r="F58" s="4"/>
      <c r="G58" s="4">
        <v>1000</v>
      </c>
      <c r="I58" s="1">
        <v>0</v>
      </c>
      <c r="AB58" s="4">
        <v>1182</v>
      </c>
      <c r="AC58" s="4">
        <v>999</v>
      </c>
    </row>
    <row r="59" spans="2:29" x14ac:dyDescent="0.25">
      <c r="B59" s="1" t="s">
        <v>69</v>
      </c>
      <c r="C59" s="4"/>
      <c r="D59" s="4"/>
      <c r="E59" s="4"/>
      <c r="F59" s="4"/>
      <c r="G59" s="4">
        <v>8429</v>
      </c>
      <c r="I59" s="1">
        <v>8432</v>
      </c>
      <c r="AB59" s="4">
        <v>9419</v>
      </c>
      <c r="AC59" s="4">
        <v>8427</v>
      </c>
    </row>
    <row r="60" spans="2:29" x14ac:dyDescent="0.25">
      <c r="B60" s="1" t="s">
        <v>70</v>
      </c>
      <c r="C60" s="4"/>
      <c r="D60" s="4"/>
      <c r="E60" s="4"/>
      <c r="F60" s="4"/>
      <c r="G60" s="4">
        <v>2519</v>
      </c>
      <c r="I60" s="1">
        <v>2420</v>
      </c>
      <c r="AB60" s="4">
        <v>2897</v>
      </c>
      <c r="AC60" s="4">
        <v>2644</v>
      </c>
    </row>
    <row r="61" spans="2:29" x14ac:dyDescent="0.25">
      <c r="B61" s="1" t="s">
        <v>71</v>
      </c>
      <c r="C61" s="4"/>
      <c r="D61" s="4"/>
      <c r="E61" s="4"/>
      <c r="F61" s="4"/>
      <c r="G61" s="4">
        <v>2400</v>
      </c>
      <c r="I61" s="1">
        <v>2643</v>
      </c>
      <c r="AB61" s="4">
        <v>2283</v>
      </c>
      <c r="AC61" s="4">
        <v>2475</v>
      </c>
    </row>
    <row r="62" spans="2:29" x14ac:dyDescent="0.25">
      <c r="B62" s="1" t="s">
        <v>72</v>
      </c>
      <c r="C62" s="4"/>
      <c r="D62" s="4"/>
      <c r="E62" s="4"/>
      <c r="F62" s="4"/>
      <c r="G62" s="4">
        <f>+SUM(G55:G61)</f>
        <v>36497</v>
      </c>
      <c r="I62" s="4">
        <f>+SUM(I55:I61)</f>
        <v>32870</v>
      </c>
      <c r="AB62" s="4">
        <f t="shared" ref="AB62" si="108">+SUM(AB55:AB61)</f>
        <v>40490</v>
      </c>
      <c r="AC62" s="4">
        <f>+SUM(AC55:AC61)</f>
        <v>40177</v>
      </c>
    </row>
    <row r="63" spans="2:29" x14ac:dyDescent="0.25">
      <c r="B63" s="1" t="s">
        <v>73</v>
      </c>
      <c r="C63" s="4"/>
      <c r="D63" s="4"/>
      <c r="E63" s="4"/>
      <c r="F63" s="4"/>
      <c r="G63" s="4">
        <v>59683</v>
      </c>
      <c r="I63" s="4">
        <v>59683</v>
      </c>
      <c r="AB63" s="4">
        <v>58359</v>
      </c>
      <c r="AC63" s="4">
        <v>59646</v>
      </c>
    </row>
    <row r="64" spans="2:29" x14ac:dyDescent="0.25">
      <c r="B64" s="1" t="s">
        <v>74</v>
      </c>
      <c r="C64" s="4"/>
      <c r="D64" s="4"/>
      <c r="E64" s="4"/>
      <c r="F64" s="4"/>
      <c r="G64" s="4">
        <f>+G62+G63</f>
        <v>96180</v>
      </c>
      <c r="I64" s="4">
        <f>+I62+I63</f>
        <v>92553</v>
      </c>
      <c r="AB64" s="4">
        <f t="shared" ref="AB64" si="109">+AB62+AB63</f>
        <v>98849</v>
      </c>
      <c r="AC64" s="4">
        <f>+AC62+AC63</f>
        <v>99823</v>
      </c>
    </row>
    <row r="66" spans="2:29" x14ac:dyDescent="0.25">
      <c r="B66" s="1" t="s">
        <v>31</v>
      </c>
      <c r="C66" s="4">
        <f t="shared" ref="C66:F66" si="110">+C26</f>
        <v>199</v>
      </c>
      <c r="D66" s="4">
        <f t="shared" si="110"/>
        <v>1267</v>
      </c>
      <c r="E66" s="4">
        <f t="shared" si="110"/>
        <v>1224</v>
      </c>
      <c r="F66" s="4">
        <f t="shared" si="110"/>
        <v>1446</v>
      </c>
      <c r="G66" s="4">
        <f>+G26</f>
        <v>1533</v>
      </c>
      <c r="H66" s="4">
        <f t="shared" ref="H66" si="111">+H26</f>
        <v>1429</v>
      </c>
      <c r="I66" s="4">
        <f>+I26</f>
        <v>1527</v>
      </c>
      <c r="J66" s="1">
        <v>1708</v>
      </c>
      <c r="T66" s="4">
        <f t="shared" ref="T66:AB66" si="112">+T26</f>
        <v>-263.39999999999964</v>
      </c>
      <c r="U66" s="4">
        <f t="shared" si="112"/>
        <v>-83</v>
      </c>
      <c r="V66" s="4">
        <f t="shared" si="112"/>
        <v>323</v>
      </c>
      <c r="W66" s="4">
        <f t="shared" si="112"/>
        <v>360</v>
      </c>
      <c r="X66" s="4">
        <f t="shared" si="112"/>
        <v>1110</v>
      </c>
      <c r="Y66" s="4">
        <f t="shared" si="112"/>
        <v>126</v>
      </c>
      <c r="Z66" s="4">
        <f t="shared" si="112"/>
        <v>4072</v>
      </c>
      <c r="AA66" s="4">
        <f t="shared" si="112"/>
        <v>1444</v>
      </c>
      <c r="AB66" s="4">
        <f t="shared" si="112"/>
        <v>208</v>
      </c>
      <c r="AC66" s="4">
        <f>+AC26</f>
        <v>4136</v>
      </c>
    </row>
    <row r="67" spans="2:29" x14ac:dyDescent="0.25">
      <c r="B67" s="1" t="s">
        <v>77</v>
      </c>
      <c r="C67" s="4">
        <v>1254</v>
      </c>
      <c r="D67" s="4">
        <v>890</v>
      </c>
      <c r="E67" s="4">
        <v>862</v>
      </c>
      <c r="F67" s="4">
        <v>953</v>
      </c>
      <c r="G67" s="4">
        <v>879</v>
      </c>
      <c r="H67" s="4">
        <v>907</v>
      </c>
      <c r="I67" s="4">
        <v>814</v>
      </c>
      <c r="J67" s="4">
        <v>877</v>
      </c>
      <c r="AA67" s="4">
        <v>3298</v>
      </c>
      <c r="AB67" s="4">
        <v>3786</v>
      </c>
      <c r="AC67" s="4">
        <v>3959</v>
      </c>
    </row>
    <row r="68" spans="2:29" x14ac:dyDescent="0.25">
      <c r="B68" s="1" t="s">
        <v>78</v>
      </c>
      <c r="C68" s="4">
        <v>470</v>
      </c>
      <c r="D68" s="4">
        <v>476</v>
      </c>
      <c r="E68" s="4">
        <v>482</v>
      </c>
      <c r="F68" s="4">
        <v>497</v>
      </c>
      <c r="G68" s="4">
        <v>517</v>
      </c>
      <c r="H68" s="4">
        <v>526</v>
      </c>
      <c r="I68" s="4">
        <v>525</v>
      </c>
      <c r="J68" s="4">
        <v>527</v>
      </c>
      <c r="AA68" s="4">
        <v>1348</v>
      </c>
      <c r="AB68" s="4">
        <v>1668</v>
      </c>
      <c r="AC68" s="4">
        <v>1925</v>
      </c>
    </row>
    <row r="69" spans="2:29" x14ac:dyDescent="0.25">
      <c r="B69" s="1" t="s">
        <v>38</v>
      </c>
      <c r="C69" s="4">
        <v>696</v>
      </c>
      <c r="D69" s="4">
        <v>724</v>
      </c>
      <c r="E69" s="4">
        <v>693</v>
      </c>
      <c r="F69" s="4">
        <v>674</v>
      </c>
      <c r="G69" s="4">
        <v>750</v>
      </c>
      <c r="H69" s="4">
        <v>810</v>
      </c>
      <c r="I69" s="4">
        <v>820</v>
      </c>
      <c r="J69" s="4">
        <v>803</v>
      </c>
      <c r="AA69" s="4">
        <v>2779</v>
      </c>
      <c r="AB69" s="4">
        <v>3279</v>
      </c>
      <c r="AC69" s="4">
        <v>2787</v>
      </c>
    </row>
    <row r="70" spans="2:29" x14ac:dyDescent="0.25">
      <c r="B70" s="1" t="s">
        <v>79</v>
      </c>
      <c r="C70" s="4">
        <v>141</v>
      </c>
      <c r="D70" s="4">
        <v>29</v>
      </c>
      <c r="E70" s="4">
        <v>72</v>
      </c>
      <c r="F70" s="4">
        <v>35</v>
      </c>
      <c r="G70" s="4">
        <v>-37</v>
      </c>
      <c r="H70" s="4">
        <v>37</v>
      </c>
      <c r="I70" s="4">
        <v>217</v>
      </c>
      <c r="J70" s="4">
        <v>-96</v>
      </c>
      <c r="AA70" s="4">
        <v>-1211</v>
      </c>
      <c r="AB70" s="4">
        <v>239</v>
      </c>
      <c r="AC70" s="4">
        <v>277</v>
      </c>
    </row>
    <row r="71" spans="2:29" x14ac:dyDescent="0.25">
      <c r="B71" s="1" t="s">
        <v>53</v>
      </c>
      <c r="C71" s="4">
        <v>6123</v>
      </c>
      <c r="D71" s="4">
        <v>-768</v>
      </c>
      <c r="E71" s="4">
        <v>550</v>
      </c>
      <c r="F71" s="4">
        <v>-6564</v>
      </c>
      <c r="G71" s="4">
        <v>7162</v>
      </c>
      <c r="H71" s="4">
        <v>-1136</v>
      </c>
      <c r="I71" s="4">
        <v>655</v>
      </c>
      <c r="J71" s="4">
        <v>-7171</v>
      </c>
      <c r="AA71" s="4">
        <v>-1824</v>
      </c>
      <c r="AB71" s="4">
        <v>-995</v>
      </c>
      <c r="AC71" s="4">
        <v>-659</v>
      </c>
    </row>
    <row r="72" spans="2:29" x14ac:dyDescent="0.25">
      <c r="B72" s="1" t="s">
        <v>54</v>
      </c>
      <c r="C72" s="4">
        <v>-275</v>
      </c>
      <c r="D72" s="4">
        <v>-331</v>
      </c>
      <c r="E72" s="4">
        <v>-300</v>
      </c>
      <c r="F72" s="4">
        <v>-966</v>
      </c>
      <c r="G72" s="4">
        <v>-248</v>
      </c>
      <c r="H72" s="4">
        <v>-427</v>
      </c>
      <c r="I72" s="4">
        <v>-430</v>
      </c>
      <c r="J72" s="4">
        <v>-1016</v>
      </c>
      <c r="AA72" s="4">
        <v>-2283</v>
      </c>
      <c r="AB72" s="4">
        <v>-2345</v>
      </c>
      <c r="AC72" s="4">
        <v>-1872</v>
      </c>
    </row>
    <row r="73" spans="2:29" x14ac:dyDescent="0.25">
      <c r="B73" s="1" t="s">
        <v>55</v>
      </c>
      <c r="C73" s="4">
        <v>-291</v>
      </c>
      <c r="D73" s="4">
        <v>-52</v>
      </c>
      <c r="E73" s="4">
        <v>-407</v>
      </c>
      <c r="F73" s="4">
        <v>-93</v>
      </c>
      <c r="G73" s="4">
        <v>-514</v>
      </c>
      <c r="H73" s="4">
        <v>-477</v>
      </c>
      <c r="I73" s="4">
        <v>-272</v>
      </c>
      <c r="J73" s="4">
        <v>-232</v>
      </c>
      <c r="AA73" s="4">
        <v>114</v>
      </c>
      <c r="AB73" s="4">
        <v>-302</v>
      </c>
      <c r="AC73" s="4">
        <v>-843</v>
      </c>
    </row>
    <row r="74" spans="2:29" x14ac:dyDescent="0.25">
      <c r="B74" s="1" t="s">
        <v>65</v>
      </c>
      <c r="C74" s="4">
        <v>-1403</v>
      </c>
      <c r="D74" s="4">
        <v>-376</v>
      </c>
      <c r="E74" s="4">
        <v>172</v>
      </c>
      <c r="F74" s="4">
        <v>1129</v>
      </c>
      <c r="G74" s="4">
        <v>-755</v>
      </c>
      <c r="H74" s="4">
        <v>220</v>
      </c>
      <c r="I74" s="4">
        <v>32</v>
      </c>
      <c r="J74" s="4">
        <v>1592</v>
      </c>
      <c r="AA74" s="4">
        <v>507</v>
      </c>
      <c r="AB74" s="4">
        <v>528</v>
      </c>
      <c r="AC74" s="4">
        <v>-478</v>
      </c>
    </row>
    <row r="75" spans="2:29" x14ac:dyDescent="0.25">
      <c r="B75" s="1" t="s">
        <v>66</v>
      </c>
      <c r="C75" s="4">
        <v>-168</v>
      </c>
      <c r="D75" s="4">
        <v>-167</v>
      </c>
      <c r="E75" s="4">
        <v>-139</v>
      </c>
      <c r="F75" s="4">
        <v>-147</v>
      </c>
      <c r="G75" s="4">
        <v>-85</v>
      </c>
      <c r="H75" s="4">
        <v>-158</v>
      </c>
      <c r="I75" s="4">
        <v>-144</v>
      </c>
      <c r="J75" s="4">
        <v>-161</v>
      </c>
      <c r="AA75" s="4">
        <v>-801</v>
      </c>
      <c r="AB75" s="4">
        <v>-699</v>
      </c>
      <c r="AC75" s="4">
        <v>-621</v>
      </c>
    </row>
    <row r="76" spans="2:29" x14ac:dyDescent="0.25">
      <c r="B76" s="1" t="s">
        <v>67</v>
      </c>
      <c r="C76" s="4">
        <v>-2255</v>
      </c>
      <c r="D76" s="4">
        <v>-884</v>
      </c>
      <c r="E76" s="4">
        <v>-1677</v>
      </c>
      <c r="F76" s="4">
        <v>6439</v>
      </c>
      <c r="G76" s="4">
        <v>-2955</v>
      </c>
      <c r="H76" s="4">
        <v>-839</v>
      </c>
      <c r="I76" s="4">
        <v>-1761</v>
      </c>
      <c r="J76" s="4">
        <v>7139</v>
      </c>
      <c r="AA76" s="4">
        <v>2629</v>
      </c>
      <c r="AB76" s="4">
        <v>1744</v>
      </c>
      <c r="AC76" s="4">
        <v>1623</v>
      </c>
    </row>
    <row r="77" spans="2:29" x14ac:dyDescent="0.25">
      <c r="B77" s="1" t="s">
        <v>37</v>
      </c>
      <c r="C77" s="4">
        <f t="shared" ref="C77:F77" si="113">+SUM(C66:C76)</f>
        <v>4491</v>
      </c>
      <c r="D77" s="4">
        <f t="shared" si="113"/>
        <v>808</v>
      </c>
      <c r="E77" s="4">
        <f t="shared" si="113"/>
        <v>1532</v>
      </c>
      <c r="F77" s="4">
        <f t="shared" si="113"/>
        <v>3403</v>
      </c>
      <c r="G77" s="4">
        <f>+SUM(G66:G76)</f>
        <v>6247</v>
      </c>
      <c r="H77" s="4">
        <f t="shared" ref="H77:J77" si="114">+SUM(H66:H76)</f>
        <v>892</v>
      </c>
      <c r="I77" s="4">
        <f t="shared" si="114"/>
        <v>1983</v>
      </c>
      <c r="J77" s="4">
        <f t="shared" si="114"/>
        <v>3970</v>
      </c>
      <c r="Y77" s="4">
        <f t="shared" ref="Y77" si="115">+SUM(Y66:Y76)</f>
        <v>126</v>
      </c>
      <c r="Z77" s="4">
        <f t="shared" ref="Z77" si="116">+SUM(Z66:Z76)</f>
        <v>4072</v>
      </c>
      <c r="AA77" s="4">
        <f t="shared" ref="AA77" si="117">+SUM(AA66:AA76)</f>
        <v>6000</v>
      </c>
      <c r="AB77" s="4">
        <f t="shared" ref="AB77" si="118">+SUM(AB66:AB76)</f>
        <v>7111</v>
      </c>
      <c r="AC77" s="4">
        <f t="shared" ref="AC77" si="119">+SUM(AC66:AC76)</f>
        <v>10234</v>
      </c>
    </row>
    <row r="78" spans="2:29" x14ac:dyDescent="0.25">
      <c r="C78" s="4"/>
      <c r="D78" s="4"/>
      <c r="E78" s="4"/>
      <c r="F78" s="4"/>
      <c r="G78" s="4"/>
      <c r="H78" s="4"/>
      <c r="I78" s="4"/>
      <c r="J78" s="4"/>
    </row>
    <row r="79" spans="2:29" x14ac:dyDescent="0.25">
      <c r="B79" s="1" t="s">
        <v>80</v>
      </c>
      <c r="C79" s="4">
        <v>0</v>
      </c>
      <c r="D79" s="4">
        <v>0</v>
      </c>
      <c r="E79" s="4">
        <v>-82</v>
      </c>
      <c r="F79" s="4">
        <v>0</v>
      </c>
      <c r="G79" s="4">
        <v>-338</v>
      </c>
      <c r="H79" s="4">
        <v>0</v>
      </c>
      <c r="I79" s="4">
        <v>-179</v>
      </c>
      <c r="J79" s="4">
        <v>-2217</v>
      </c>
      <c r="AA79" s="1">
        <v>-14876</v>
      </c>
      <c r="AB79" s="1">
        <v>-439</v>
      </c>
      <c r="AC79" s="1">
        <v>-82</v>
      </c>
    </row>
    <row r="80" spans="2:29" x14ac:dyDescent="0.25">
      <c r="B80" s="1" t="s">
        <v>81</v>
      </c>
      <c r="C80" s="4">
        <v>-105</v>
      </c>
      <c r="D80" s="4">
        <v>-182</v>
      </c>
      <c r="E80" s="4">
        <v>-103</v>
      </c>
      <c r="F80" s="4">
        <v>-106</v>
      </c>
      <c r="G80" s="4">
        <v>-203</v>
      </c>
      <c r="H80" s="4">
        <v>-104</v>
      </c>
      <c r="I80" s="4">
        <v>-67</v>
      </c>
      <c r="J80" s="4">
        <v>-165</v>
      </c>
      <c r="AA80" s="1">
        <v>-1718</v>
      </c>
      <c r="AB80" s="1">
        <v>-550</v>
      </c>
      <c r="AC80" s="1">
        <v>-496</v>
      </c>
    </row>
    <row r="81" spans="2:29" x14ac:dyDescent="0.25">
      <c r="B81" s="1" t="s">
        <v>82</v>
      </c>
      <c r="C81" s="4">
        <v>9</v>
      </c>
      <c r="D81" s="4">
        <v>13</v>
      </c>
      <c r="E81" s="4">
        <v>80</v>
      </c>
      <c r="F81" s="4">
        <v>6</v>
      </c>
      <c r="G81" s="4">
        <v>53</v>
      </c>
      <c r="H81" s="4">
        <v>52</v>
      </c>
      <c r="I81" s="4">
        <v>13</v>
      </c>
      <c r="J81" s="4">
        <v>8</v>
      </c>
      <c r="AA81" s="1">
        <v>2201</v>
      </c>
      <c r="AB81" s="1">
        <v>355</v>
      </c>
      <c r="AC81" s="1">
        <v>108</v>
      </c>
    </row>
    <row r="82" spans="2:29" x14ac:dyDescent="0.25">
      <c r="B82" s="1" t="s">
        <v>83</v>
      </c>
      <c r="C82" s="4">
        <v>-368</v>
      </c>
      <c r="D82" s="4">
        <v>-1798</v>
      </c>
      <c r="E82" s="4">
        <v>-661</v>
      </c>
      <c r="F82" s="4">
        <v>-934</v>
      </c>
      <c r="G82" s="4">
        <v>-3252</v>
      </c>
      <c r="H82" s="4">
        <v>-550</v>
      </c>
      <c r="I82" s="4">
        <v>-1239</v>
      </c>
      <c r="J82" s="4">
        <v>-1838</v>
      </c>
      <c r="AA82" s="1">
        <v>-5674</v>
      </c>
      <c r="AB82" s="1">
        <v>-4777</v>
      </c>
      <c r="AC82" s="1">
        <v>-3761</v>
      </c>
    </row>
    <row r="83" spans="2:29" x14ac:dyDescent="0.25">
      <c r="B83" s="1" t="s">
        <v>84</v>
      </c>
      <c r="C83" s="4">
        <v>269</v>
      </c>
      <c r="D83" s="4">
        <v>533</v>
      </c>
      <c r="E83" s="4">
        <v>315</v>
      </c>
      <c r="F83" s="4">
        <v>394</v>
      </c>
      <c r="G83" s="4">
        <v>616</v>
      </c>
      <c r="H83" s="4">
        <v>2482</v>
      </c>
      <c r="I83" s="4">
        <v>554</v>
      </c>
      <c r="J83" s="4">
        <v>491</v>
      </c>
      <c r="AA83" s="1">
        <v>4179</v>
      </c>
      <c r="AB83" s="1">
        <v>1771</v>
      </c>
      <c r="AC83" s="1">
        <v>1511</v>
      </c>
    </row>
    <row r="84" spans="2:29" x14ac:dyDescent="0.25">
      <c r="B84" s="1" t="s">
        <v>85</v>
      </c>
      <c r="C84" s="4">
        <v>785</v>
      </c>
      <c r="D84" s="4">
        <v>462</v>
      </c>
      <c r="E84" s="4">
        <v>563</v>
      </c>
      <c r="F84" s="4">
        <v>319</v>
      </c>
      <c r="G84" s="4">
        <v>636</v>
      </c>
      <c r="H84" s="4">
        <v>898</v>
      </c>
      <c r="I84" s="4">
        <v>905</v>
      </c>
      <c r="J84" s="4">
        <v>939</v>
      </c>
      <c r="AA84" s="1">
        <v>2069</v>
      </c>
      <c r="AB84" s="1">
        <v>2449</v>
      </c>
      <c r="AC84" s="1">
        <v>2129</v>
      </c>
    </row>
    <row r="85" spans="2:29" x14ac:dyDescent="0.25">
      <c r="B85" s="1" t="s">
        <v>86</v>
      </c>
      <c r="C85" s="4">
        <v>-243</v>
      </c>
      <c r="D85" s="4">
        <v>-180</v>
      </c>
      <c r="E85" s="4">
        <v>-166</v>
      </c>
      <c r="F85" s="4">
        <v>-147</v>
      </c>
      <c r="G85" s="4">
        <v>-163</v>
      </c>
      <c r="H85" s="4">
        <v>-137</v>
      </c>
      <c r="I85" s="4">
        <v>-204</v>
      </c>
      <c r="J85" s="4">
        <v>-154</v>
      </c>
      <c r="AA85" s="1">
        <v>-717</v>
      </c>
      <c r="AB85" s="1">
        <v>-798</v>
      </c>
      <c r="AC85" s="1">
        <v>-736</v>
      </c>
    </row>
    <row r="86" spans="2:29" x14ac:dyDescent="0.25">
      <c r="B86" s="1" t="s">
        <v>87</v>
      </c>
      <c r="C86" s="4">
        <f t="shared" ref="C86:F86" si="120">+SUM(C79:C85)</f>
        <v>347</v>
      </c>
      <c r="D86" s="4">
        <f t="shared" si="120"/>
        <v>-1152</v>
      </c>
      <c r="E86" s="4">
        <f t="shared" si="120"/>
        <v>-54</v>
      </c>
      <c r="F86" s="4">
        <f t="shared" si="120"/>
        <v>-468</v>
      </c>
      <c r="G86" s="4">
        <f>+SUM(G79:G85)</f>
        <v>-2651</v>
      </c>
      <c r="H86" s="4">
        <f t="shared" ref="H86:J86" si="121">+SUM(H79:H85)</f>
        <v>2641</v>
      </c>
      <c r="I86" s="4">
        <f t="shared" si="121"/>
        <v>-217</v>
      </c>
      <c r="J86" s="4">
        <f t="shared" si="121"/>
        <v>-2936</v>
      </c>
      <c r="T86" s="4">
        <f t="shared" ref="T86:AC86" si="122">+SUM(T79:T85)</f>
        <v>0</v>
      </c>
      <c r="U86" s="4">
        <f t="shared" si="122"/>
        <v>0</v>
      </c>
      <c r="V86" s="4">
        <f t="shared" si="122"/>
        <v>0</v>
      </c>
      <c r="W86" s="4">
        <f t="shared" si="122"/>
        <v>0</v>
      </c>
      <c r="X86" s="4">
        <f t="shared" si="122"/>
        <v>0</v>
      </c>
      <c r="Y86" s="4">
        <f t="shared" si="122"/>
        <v>0</v>
      </c>
      <c r="Z86" s="4">
        <f t="shared" si="122"/>
        <v>0</v>
      </c>
      <c r="AA86" s="4">
        <f t="shared" si="122"/>
        <v>-14536</v>
      </c>
      <c r="AB86" s="4">
        <f t="shared" si="122"/>
        <v>-1989</v>
      </c>
      <c r="AC86" s="4">
        <f t="shared" si="122"/>
        <v>-1327</v>
      </c>
    </row>
    <row r="87" spans="2:29" x14ac:dyDescent="0.25">
      <c r="C87" s="4"/>
      <c r="D87" s="4"/>
      <c r="E87" s="4"/>
      <c r="F87" s="4"/>
      <c r="G87" s="4"/>
      <c r="H87" s="4"/>
      <c r="I87" s="4"/>
      <c r="J87" s="4"/>
    </row>
    <row r="88" spans="2:29" x14ac:dyDescent="0.25">
      <c r="B88" s="1" t="s">
        <v>102</v>
      </c>
      <c r="C88" s="4"/>
      <c r="D88" s="4"/>
      <c r="E88" s="4"/>
      <c r="F88" s="4"/>
      <c r="G88" s="4"/>
      <c r="H88" s="4"/>
      <c r="I88" s="4"/>
      <c r="J88" s="4"/>
      <c r="AA88" s="1">
        <v>7906</v>
      </c>
    </row>
    <row r="89" spans="2:29" x14ac:dyDescent="0.25">
      <c r="B89" s="1" t="s">
        <v>103</v>
      </c>
      <c r="C89" s="4"/>
      <c r="D89" s="4"/>
      <c r="E89" s="4"/>
      <c r="F89" s="4"/>
      <c r="G89" s="4"/>
      <c r="H89" s="4"/>
      <c r="I89" s="4"/>
      <c r="J89" s="4"/>
      <c r="AA89" s="1">
        <v>-1197</v>
      </c>
    </row>
    <row r="90" spans="2:29" x14ac:dyDescent="0.25">
      <c r="B90" s="1" t="s">
        <v>88</v>
      </c>
      <c r="C90" s="4">
        <v>-2054</v>
      </c>
      <c r="D90" s="4">
        <v>-1949</v>
      </c>
      <c r="E90" s="4">
        <v>-1925</v>
      </c>
      <c r="F90" s="4">
        <v>-1692</v>
      </c>
      <c r="G90" s="4">
        <v>-2133</v>
      </c>
      <c r="H90" s="4">
        <v>-4335</v>
      </c>
      <c r="I90" s="4">
        <v>-1285</v>
      </c>
      <c r="J90" s="4">
        <v>-76</v>
      </c>
      <c r="AA90" s="1">
        <v>0</v>
      </c>
      <c r="AB90" s="1">
        <v>-4000</v>
      </c>
      <c r="AC90" s="1">
        <v>-7620</v>
      </c>
    </row>
    <row r="91" spans="2:29" x14ac:dyDescent="0.25">
      <c r="B91" s="1" t="s">
        <v>89</v>
      </c>
      <c r="C91" s="4">
        <v>449</v>
      </c>
      <c r="D91" s="4">
        <v>362</v>
      </c>
      <c r="E91" s="4">
        <v>274</v>
      </c>
      <c r="F91" s="4">
        <v>869</v>
      </c>
      <c r="G91" s="4">
        <v>533</v>
      </c>
      <c r="H91" s="4">
        <v>202</v>
      </c>
      <c r="I91" s="4">
        <v>321</v>
      </c>
      <c r="J91" s="4">
        <v>484</v>
      </c>
      <c r="AA91" s="1">
        <v>1289</v>
      </c>
      <c r="AB91" s="1">
        <v>861</v>
      </c>
      <c r="AC91" s="1">
        <v>1954</v>
      </c>
    </row>
    <row r="92" spans="2:29" x14ac:dyDescent="0.25">
      <c r="B92" s="1" t="s">
        <v>90</v>
      </c>
      <c r="C92" s="4">
        <v>-110</v>
      </c>
      <c r="D92" s="4">
        <v>-282</v>
      </c>
      <c r="E92" s="4">
        <v>-114</v>
      </c>
      <c r="F92" s="4">
        <v>-123</v>
      </c>
      <c r="G92" s="4">
        <v>-120</v>
      </c>
      <c r="H92" s="4">
        <v>-285</v>
      </c>
      <c r="I92" s="4">
        <v>-100</v>
      </c>
      <c r="J92" s="4">
        <v>-98</v>
      </c>
      <c r="AA92" s="1">
        <v>-156</v>
      </c>
      <c r="AB92" s="1">
        <v>-419</v>
      </c>
      <c r="AC92" s="1">
        <v>-629</v>
      </c>
    </row>
    <row r="93" spans="2:29" x14ac:dyDescent="0.25">
      <c r="B93" s="1" t="s">
        <v>91</v>
      </c>
      <c r="C93" s="4">
        <v>-1001</v>
      </c>
      <c r="D93" s="4">
        <v>-181</v>
      </c>
      <c r="E93" s="4">
        <v>0</v>
      </c>
      <c r="F93" s="4">
        <v>0</v>
      </c>
      <c r="G93" s="4">
        <v>0</v>
      </c>
      <c r="H93" s="4">
        <v>-1000</v>
      </c>
      <c r="I93" s="4">
        <v>0</v>
      </c>
      <c r="J93" s="4">
        <v>0</v>
      </c>
      <c r="AA93" s="1">
        <v>-4</v>
      </c>
      <c r="AB93" s="1">
        <v>-4</v>
      </c>
      <c r="AC93" s="1">
        <v>-1182</v>
      </c>
    </row>
    <row r="94" spans="2:29" x14ac:dyDescent="0.25">
      <c r="B94" s="1" t="s">
        <v>92</v>
      </c>
      <c r="C94" s="4">
        <v>0</v>
      </c>
      <c r="D94" s="4">
        <v>0</v>
      </c>
      <c r="E94" s="4">
        <v>0</v>
      </c>
      <c r="F94" s="4">
        <v>0</v>
      </c>
      <c r="G94" s="4">
        <v>-388</v>
      </c>
      <c r="H94" s="4">
        <v>-384</v>
      </c>
      <c r="I94" s="4">
        <v>-382</v>
      </c>
      <c r="J94" s="4">
        <v>-383</v>
      </c>
      <c r="AA94" s="1">
        <v>0</v>
      </c>
      <c r="AB94" s="1">
        <v>0</v>
      </c>
      <c r="AC94" s="1">
        <v>0</v>
      </c>
    </row>
    <row r="95" spans="2:29" x14ac:dyDescent="0.25">
      <c r="B95" s="1" t="s">
        <v>93</v>
      </c>
      <c r="C95" s="4">
        <f t="shared" ref="C95:F95" si="123">+SUM(C90:C94)</f>
        <v>-2716</v>
      </c>
      <c r="D95" s="4">
        <f t="shared" si="123"/>
        <v>-2050</v>
      </c>
      <c r="E95" s="4">
        <f t="shared" si="123"/>
        <v>-1765</v>
      </c>
      <c r="F95" s="4">
        <f t="shared" si="123"/>
        <v>-946</v>
      </c>
      <c r="G95" s="4">
        <f>+SUM(G90:G94)</f>
        <v>-2108</v>
      </c>
      <c r="H95" s="4">
        <f t="shared" ref="H95:J95" si="124">+SUM(H90:H94)</f>
        <v>-5802</v>
      </c>
      <c r="I95" s="4">
        <f t="shared" si="124"/>
        <v>-1446</v>
      </c>
      <c r="J95" s="4">
        <f t="shared" si="124"/>
        <v>-73</v>
      </c>
      <c r="T95" s="4">
        <f t="shared" ref="T95:AC95" si="125">+SUM(T90:T94)</f>
        <v>0</v>
      </c>
      <c r="U95" s="4">
        <f t="shared" si="125"/>
        <v>0</v>
      </c>
      <c r="V95" s="4">
        <f t="shared" si="125"/>
        <v>0</v>
      </c>
      <c r="W95" s="4">
        <f t="shared" si="125"/>
        <v>0</v>
      </c>
      <c r="X95" s="4">
        <f t="shared" si="125"/>
        <v>0</v>
      </c>
      <c r="Y95" s="4">
        <f t="shared" si="125"/>
        <v>0</v>
      </c>
      <c r="Z95" s="4">
        <f t="shared" si="125"/>
        <v>0</v>
      </c>
      <c r="AA95" s="4">
        <f>+SUM(AA88:AA94)</f>
        <v>7838</v>
      </c>
      <c r="AB95" s="4">
        <f t="shared" si="125"/>
        <v>-3562</v>
      </c>
      <c r="AC95" s="4">
        <f t="shared" si="125"/>
        <v>-7477</v>
      </c>
    </row>
    <row r="96" spans="2:29" x14ac:dyDescent="0.25">
      <c r="B96" s="1" t="s">
        <v>94</v>
      </c>
      <c r="C96" s="4">
        <v>17</v>
      </c>
      <c r="D96" s="4">
        <v>11</v>
      </c>
      <c r="E96" s="4">
        <v>-32</v>
      </c>
      <c r="F96" s="4">
        <v>30</v>
      </c>
      <c r="G96" s="4">
        <v>-2</v>
      </c>
      <c r="H96" s="4">
        <v>-7</v>
      </c>
      <c r="I96" s="4">
        <v>-5</v>
      </c>
      <c r="J96" s="4"/>
      <c r="AA96" s="1">
        <v>-33</v>
      </c>
      <c r="AB96" s="1">
        <v>-8</v>
      </c>
      <c r="AC96" s="1">
        <v>26</v>
      </c>
    </row>
    <row r="97" spans="2:29" x14ac:dyDescent="0.25">
      <c r="B97" s="1" t="s">
        <v>95</v>
      </c>
      <c r="C97" s="4">
        <f t="shared" ref="C97:F97" si="126">+C77+C86+C95+C96</f>
        <v>2139</v>
      </c>
      <c r="D97" s="4">
        <f t="shared" si="126"/>
        <v>-2383</v>
      </c>
      <c r="E97" s="4">
        <f t="shared" si="126"/>
        <v>-319</v>
      </c>
      <c r="F97" s="4">
        <f t="shared" si="126"/>
        <v>2019</v>
      </c>
      <c r="G97" s="4">
        <f>+G77+G86+G95+G96</f>
        <v>1486</v>
      </c>
      <c r="H97" s="4">
        <f t="shared" ref="H97:I97" si="127">+H77+H86+H95+H96</f>
        <v>-2276</v>
      </c>
      <c r="I97" s="4">
        <f t="shared" si="127"/>
        <v>315</v>
      </c>
      <c r="J97" s="4"/>
      <c r="T97" s="4">
        <f t="shared" ref="T97:AC97" si="128">+T77+T86+T95+T96</f>
        <v>0</v>
      </c>
      <c r="U97" s="4">
        <f t="shared" si="128"/>
        <v>0</v>
      </c>
      <c r="V97" s="4">
        <f t="shared" si="128"/>
        <v>0</v>
      </c>
      <c r="W97" s="4">
        <f t="shared" si="128"/>
        <v>0</v>
      </c>
      <c r="X97" s="4">
        <f t="shared" si="128"/>
        <v>0</v>
      </c>
      <c r="Y97" s="4">
        <f t="shared" si="128"/>
        <v>126</v>
      </c>
      <c r="Z97" s="4">
        <f t="shared" si="128"/>
        <v>4072</v>
      </c>
      <c r="AA97" s="4">
        <f t="shared" si="128"/>
        <v>-731</v>
      </c>
      <c r="AB97" s="4">
        <f t="shared" si="128"/>
        <v>1552</v>
      </c>
      <c r="AC97" s="4">
        <f t="shared" si="128"/>
        <v>1456</v>
      </c>
    </row>
    <row r="99" spans="2:29" x14ac:dyDescent="0.25">
      <c r="B99" s="1" t="s">
        <v>39</v>
      </c>
      <c r="C99" s="4">
        <f t="shared" ref="C99:F99" si="129">+C77+C85</f>
        <v>4248</v>
      </c>
      <c r="D99" s="4">
        <f t="shared" si="129"/>
        <v>628</v>
      </c>
      <c r="E99" s="4">
        <f t="shared" si="129"/>
        <v>1366</v>
      </c>
      <c r="F99" s="4">
        <f t="shared" si="129"/>
        <v>3256</v>
      </c>
      <c r="G99" s="4">
        <f>+G77+G85</f>
        <v>6084</v>
      </c>
      <c r="H99" s="4">
        <f>+H77+H85</f>
        <v>755</v>
      </c>
      <c r="I99" s="4">
        <f t="shared" ref="I99:J99" si="130">+I77+I85</f>
        <v>1779</v>
      </c>
      <c r="J99" s="4">
        <f t="shared" si="130"/>
        <v>3816</v>
      </c>
      <c r="AA99" s="4">
        <f t="shared" ref="AA99:AB99" si="131">+AA77+AA85</f>
        <v>5283</v>
      </c>
      <c r="AB99" s="4">
        <f t="shared" si="131"/>
        <v>6313</v>
      </c>
      <c r="AC99" s="4">
        <f>+AC77+AC85</f>
        <v>9498</v>
      </c>
    </row>
    <row r="100" spans="2:29" x14ac:dyDescent="0.25">
      <c r="B100" s="1" t="s">
        <v>125</v>
      </c>
      <c r="F100" s="4">
        <f t="shared" ref="F100:G100" si="132">+SUM(C99:F99)</f>
        <v>9498</v>
      </c>
      <c r="G100" s="4">
        <f t="shared" si="132"/>
        <v>11334</v>
      </c>
      <c r="H100" s="4">
        <f>+SUM(E99:H99)</f>
        <v>11461</v>
      </c>
      <c r="I100" s="4">
        <f t="shared" ref="I100" si="133">+SUM(F99:I99)</f>
        <v>11874</v>
      </c>
      <c r="J100" s="4">
        <f t="shared" ref="J100" si="134">+SUM(G99:J99)</f>
        <v>12434</v>
      </c>
    </row>
  </sheetData>
  <hyperlinks>
    <hyperlink ref="A1" location="main!A1" display="main" xr:uid="{AC2B2853-1883-4E73-AE6E-FED0283D6C07}"/>
  </hyperlinks>
  <pageMargins left="0.7" right="0.7" top="0.75" bottom="0.75" header="0.3" footer="0.3"/>
  <pageSetup paperSize="9" orientation="portrait" horizontalDpi="0"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2024-06-05T21:53:07Z</dcterms:created>
  <dcterms:modified xsi:type="dcterms:W3CDTF">2025-04-04T10:40:29Z</dcterms:modified>
</cp:coreProperties>
</file>