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592" documentId="8_{9F826408-0718-4C47-AB7C-4B84C05ED855}" xr6:coauthVersionLast="47" xr6:coauthVersionMax="47" xr10:uidLastSave="{0EC61EBE-69B8-43D6-A7A3-F0860DF773A0}"/>
  <bookViews>
    <workbookView xWindow="-120" yWindow="-120" windowWidth="29040" windowHeight="15720" activeTab="1" xr2:uid="{D5547DD9-6B2D-4EBE-98F8-C1499B471C7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5" i="2" l="1"/>
  <c r="AD25" i="2" s="1"/>
  <c r="AE25" i="2" s="1"/>
  <c r="AB25" i="2"/>
  <c r="AA25" i="2"/>
  <c r="AC18" i="2"/>
  <c r="AD18" i="2" s="1"/>
  <c r="AE18" i="2" s="1"/>
  <c r="AB18" i="2"/>
  <c r="AE15" i="2"/>
  <c r="AD15" i="2"/>
  <c r="AC15" i="2"/>
  <c r="AB15" i="2"/>
  <c r="AA15" i="2"/>
  <c r="AE14" i="2"/>
  <c r="AD14" i="2"/>
  <c r="AC14" i="2"/>
  <c r="AB14" i="2"/>
  <c r="AA14" i="2"/>
  <c r="AE13" i="2"/>
  <c r="AD13" i="2"/>
  <c r="AC13" i="2"/>
  <c r="AB13" i="2"/>
  <c r="AA13" i="2"/>
  <c r="AB7" i="2"/>
  <c r="AC7" i="2" s="1"/>
  <c r="AD7" i="2" s="1"/>
  <c r="AE7" i="2" s="1"/>
  <c r="AA7" i="2"/>
  <c r="AA32" i="2" s="1"/>
  <c r="AE8" i="2"/>
  <c r="AD8" i="2"/>
  <c r="AC8" i="2"/>
  <c r="AB8" i="2"/>
  <c r="AA8" i="2"/>
  <c r="Z15" i="2"/>
  <c r="Z14" i="2"/>
  <c r="Z13" i="2"/>
  <c r="Z18" i="2"/>
  <c r="AA18" i="2" s="1"/>
  <c r="Z8" i="2"/>
  <c r="Z7" i="2"/>
  <c r="AE2" i="2"/>
  <c r="AD2" i="2"/>
  <c r="AC2" i="2"/>
  <c r="AB2" i="2"/>
  <c r="AA2" i="2"/>
  <c r="AH5" i="2"/>
  <c r="Z25" i="2"/>
  <c r="Z32" i="2"/>
  <c r="AD3" i="2"/>
  <c r="AE3" i="2" s="1"/>
  <c r="AC3" i="2"/>
  <c r="AB3" i="2"/>
  <c r="AA3" i="2"/>
  <c r="Z3" i="2"/>
  <c r="Z29" i="2" s="1"/>
  <c r="AC29" i="2"/>
  <c r="AA28" i="2"/>
  <c r="Z28" i="2"/>
  <c r="Z2" i="2"/>
  <c r="V30" i="2"/>
  <c r="U20" i="2"/>
  <c r="X41" i="2"/>
  <c r="W41" i="2"/>
  <c r="Y41" i="2"/>
  <c r="X39" i="2"/>
  <c r="W39" i="2"/>
  <c r="V39" i="2"/>
  <c r="V41" i="2" s="1"/>
  <c r="U39" i="2"/>
  <c r="U41" i="2" s="1"/>
  <c r="Y39" i="2"/>
  <c r="U33" i="2"/>
  <c r="U32" i="2"/>
  <c r="Y35" i="2"/>
  <c r="X35" i="2"/>
  <c r="W35" i="2"/>
  <c r="Y34" i="2"/>
  <c r="X34" i="2"/>
  <c r="W34" i="2"/>
  <c r="Y33" i="2"/>
  <c r="X33" i="2"/>
  <c r="W33" i="2"/>
  <c r="V33" i="2"/>
  <c r="Y32" i="2"/>
  <c r="X32" i="2"/>
  <c r="W32" i="2"/>
  <c r="V32" i="2"/>
  <c r="X30" i="2"/>
  <c r="Y30" i="2"/>
  <c r="X29" i="2"/>
  <c r="W29" i="2"/>
  <c r="V29" i="2"/>
  <c r="X28" i="2"/>
  <c r="W28" i="2"/>
  <c r="V28" i="2"/>
  <c r="Y29" i="2"/>
  <c r="Y28" i="2"/>
  <c r="W18" i="2"/>
  <c r="X18" i="2"/>
  <c r="Y18" i="2"/>
  <c r="Y16" i="2"/>
  <c r="Y10" i="2"/>
  <c r="Y9" i="2"/>
  <c r="Y5" i="2"/>
  <c r="X16" i="2"/>
  <c r="X10" i="2"/>
  <c r="X9" i="2"/>
  <c r="X5" i="2"/>
  <c r="W16" i="2"/>
  <c r="W10" i="2"/>
  <c r="W9" i="2"/>
  <c r="W5" i="2"/>
  <c r="V16" i="2"/>
  <c r="V10" i="2"/>
  <c r="V9" i="2"/>
  <c r="V5" i="2"/>
  <c r="W30" i="2" s="1"/>
  <c r="U16" i="2"/>
  <c r="U10" i="2"/>
  <c r="U9" i="2"/>
  <c r="U12" i="2" s="1"/>
  <c r="U5" i="2"/>
  <c r="AA1" i="2"/>
  <c r="AB1" i="2" s="1"/>
  <c r="AC1" i="2" s="1"/>
  <c r="AD1" i="2" s="1"/>
  <c r="AE1" i="2" s="1"/>
  <c r="Z1" i="2"/>
  <c r="R44" i="2"/>
  <c r="AA33" i="2" l="1"/>
  <c r="Z33" i="2"/>
  <c r="AC28" i="2"/>
  <c r="AB28" i="2"/>
  <c r="Z16" i="2"/>
  <c r="AB10" i="2"/>
  <c r="AA9" i="2"/>
  <c r="AE29" i="2"/>
  <c r="AD29" i="2"/>
  <c r="AC5" i="2"/>
  <c r="AB29" i="2"/>
  <c r="AA10" i="2"/>
  <c r="Z10" i="2"/>
  <c r="AA29" i="2"/>
  <c r="Z5" i="2"/>
  <c r="AD5" i="2"/>
  <c r="AB5" i="2"/>
  <c r="AA5" i="2"/>
  <c r="Z9" i="2"/>
  <c r="V12" i="2"/>
  <c r="V17" i="2" s="1"/>
  <c r="Y12" i="2"/>
  <c r="Y17" i="2" s="1"/>
  <c r="Y20" i="2" s="1"/>
  <c r="Y22" i="2" s="1"/>
  <c r="Y24" i="2" s="1"/>
  <c r="Y26" i="2" s="1"/>
  <c r="U17" i="2"/>
  <c r="X12" i="2"/>
  <c r="X17" i="2" s="1"/>
  <c r="X20" i="2" s="1"/>
  <c r="X22" i="2" s="1"/>
  <c r="X24" i="2" s="1"/>
  <c r="X26" i="2" s="1"/>
  <c r="W12" i="2"/>
  <c r="W17" i="2" s="1"/>
  <c r="W20" i="2" s="1"/>
  <c r="W22" i="2" s="1"/>
  <c r="W24" i="2" s="1"/>
  <c r="W26" i="2" s="1"/>
  <c r="I38" i="2"/>
  <c r="H40" i="2"/>
  <c r="I40" i="2" s="1"/>
  <c r="H38" i="2"/>
  <c r="C40" i="2"/>
  <c r="D40" i="2" s="1"/>
  <c r="E40" i="2" s="1"/>
  <c r="G40" i="2"/>
  <c r="C38" i="2"/>
  <c r="D38" i="2" s="1"/>
  <c r="E38" i="2" s="1"/>
  <c r="C37" i="2"/>
  <c r="D37" i="2" s="1"/>
  <c r="E37" i="2" s="1"/>
  <c r="G38" i="2"/>
  <c r="G37" i="2"/>
  <c r="H37" i="2" s="1"/>
  <c r="I37" i="2" s="1"/>
  <c r="J16" i="2"/>
  <c r="J18" i="2"/>
  <c r="K38" i="2"/>
  <c r="L38" i="2" s="1"/>
  <c r="K37" i="2"/>
  <c r="L37" i="2" s="1"/>
  <c r="K40" i="2"/>
  <c r="O40" i="2"/>
  <c r="P40" i="2" s="1"/>
  <c r="O38" i="2"/>
  <c r="P38" i="2" s="1"/>
  <c r="O37" i="2"/>
  <c r="K18" i="2"/>
  <c r="O18" i="2"/>
  <c r="L18" i="2"/>
  <c r="P18" i="2"/>
  <c r="M18" i="2"/>
  <c r="Q18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Q39" i="2"/>
  <c r="Q41" i="2" s="1"/>
  <c r="N39" i="2"/>
  <c r="N41" i="2" s="1"/>
  <c r="M39" i="2"/>
  <c r="M41" i="2" s="1"/>
  <c r="J39" i="2"/>
  <c r="J41" i="2" s="1"/>
  <c r="F39" i="2"/>
  <c r="F41" i="2" s="1"/>
  <c r="B39" i="2"/>
  <c r="B41" i="2" s="1"/>
  <c r="R39" i="2"/>
  <c r="R41" i="2" s="1"/>
  <c r="R33" i="2"/>
  <c r="R32" i="2"/>
  <c r="Q29" i="2"/>
  <c r="P29" i="2"/>
  <c r="O29" i="2"/>
  <c r="N29" i="2"/>
  <c r="M29" i="2"/>
  <c r="L29" i="2"/>
  <c r="K29" i="2"/>
  <c r="J29" i="2"/>
  <c r="I29" i="2"/>
  <c r="H29" i="2"/>
  <c r="G29" i="2"/>
  <c r="F29" i="2"/>
  <c r="Q28" i="2"/>
  <c r="P28" i="2"/>
  <c r="O28" i="2"/>
  <c r="N28" i="2"/>
  <c r="M28" i="2"/>
  <c r="L28" i="2"/>
  <c r="K28" i="2"/>
  <c r="J28" i="2"/>
  <c r="I28" i="2"/>
  <c r="H28" i="2"/>
  <c r="G28" i="2"/>
  <c r="F28" i="2"/>
  <c r="R29" i="2"/>
  <c r="R28" i="2"/>
  <c r="N18" i="2"/>
  <c r="R18" i="2"/>
  <c r="R16" i="2"/>
  <c r="Q16" i="2"/>
  <c r="P16" i="2"/>
  <c r="O16" i="2"/>
  <c r="N16" i="2"/>
  <c r="M16" i="2"/>
  <c r="L16" i="2"/>
  <c r="K16" i="2"/>
  <c r="I16" i="2"/>
  <c r="H16" i="2"/>
  <c r="G16" i="2"/>
  <c r="F16" i="2"/>
  <c r="E16" i="2"/>
  <c r="D16" i="2"/>
  <c r="C16" i="2"/>
  <c r="B16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R9" i="2"/>
  <c r="R12" i="2" s="1"/>
  <c r="Q9" i="2"/>
  <c r="P9" i="2"/>
  <c r="O9" i="2"/>
  <c r="O12" i="2" s="1"/>
  <c r="N9" i="2"/>
  <c r="M9" i="2"/>
  <c r="L9" i="2"/>
  <c r="K9" i="2"/>
  <c r="J9" i="2"/>
  <c r="I9" i="2"/>
  <c r="H9" i="2"/>
  <c r="G9" i="2"/>
  <c r="F9" i="2"/>
  <c r="E9" i="2"/>
  <c r="D9" i="2"/>
  <c r="C9" i="2"/>
  <c r="B9" i="2"/>
  <c r="B10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B5" i="1"/>
  <c r="B4" i="1"/>
  <c r="B7" i="1" s="1"/>
  <c r="AH11" i="2" s="1"/>
  <c r="B3" i="1"/>
  <c r="AD32" i="2" l="1"/>
  <c r="AC32" i="2"/>
  <c r="AC9" i="2"/>
  <c r="AB32" i="2"/>
  <c r="AB9" i="2"/>
  <c r="AB12" i="2" s="1"/>
  <c r="AB33" i="2"/>
  <c r="AD9" i="2"/>
  <c r="AB30" i="2"/>
  <c r="AC30" i="2"/>
  <c r="AD28" i="2"/>
  <c r="AD30" i="2"/>
  <c r="AA12" i="2"/>
  <c r="Z12" i="2"/>
  <c r="Z17" i="2" s="1"/>
  <c r="AA30" i="2"/>
  <c r="Z30" i="2"/>
  <c r="U22" i="2"/>
  <c r="U24" i="2" s="1"/>
  <c r="U34" i="2"/>
  <c r="V20" i="2"/>
  <c r="V22" i="2" s="1"/>
  <c r="V24" i="2" s="1"/>
  <c r="V34" i="2"/>
  <c r="I39" i="2"/>
  <c r="H39" i="2"/>
  <c r="J43" i="2"/>
  <c r="R43" i="2"/>
  <c r="E39" i="2"/>
  <c r="I41" i="2"/>
  <c r="E12" i="2"/>
  <c r="E17" i="2" s="1"/>
  <c r="I12" i="2"/>
  <c r="D39" i="2"/>
  <c r="D41" i="2" s="1"/>
  <c r="H41" i="2"/>
  <c r="D12" i="2"/>
  <c r="D17" i="2" s="1"/>
  <c r="H12" i="2"/>
  <c r="H17" i="2" s="1"/>
  <c r="C39" i="2"/>
  <c r="C41" i="2" s="1"/>
  <c r="G39" i="2"/>
  <c r="C12" i="2"/>
  <c r="C17" i="2" s="1"/>
  <c r="F12" i="2"/>
  <c r="F17" i="2" s="1"/>
  <c r="G12" i="2"/>
  <c r="O39" i="2"/>
  <c r="J12" i="2"/>
  <c r="K39" i="2"/>
  <c r="M43" i="2" s="1"/>
  <c r="M44" i="2" s="1"/>
  <c r="L40" i="2"/>
  <c r="P37" i="2"/>
  <c r="P39" i="2" s="1"/>
  <c r="K12" i="2"/>
  <c r="L39" i="2"/>
  <c r="P12" i="2"/>
  <c r="P17" i="2" s="1"/>
  <c r="M12" i="2"/>
  <c r="M17" i="2" s="1"/>
  <c r="M20" i="2" s="1"/>
  <c r="M22" i="2" s="1"/>
  <c r="M24" i="2" s="1"/>
  <c r="M26" i="2" s="1"/>
  <c r="Q12" i="2"/>
  <c r="Q17" i="2" s="1"/>
  <c r="N12" i="2"/>
  <c r="L12" i="2"/>
  <c r="B12" i="2"/>
  <c r="B17" i="2" s="1"/>
  <c r="O17" i="2"/>
  <c r="R17" i="2"/>
  <c r="AC33" i="2" l="1"/>
  <c r="AC10" i="2"/>
  <c r="AC12" i="2" s="1"/>
  <c r="AC16" i="2"/>
  <c r="AB16" i="2"/>
  <c r="AB17" i="2" s="1"/>
  <c r="AB20" i="2" s="1"/>
  <c r="AA16" i="2"/>
  <c r="AA17" i="2" s="1"/>
  <c r="AA34" i="2" s="1"/>
  <c r="AE28" i="2"/>
  <c r="AE5" i="2"/>
  <c r="AE9" i="2"/>
  <c r="AE32" i="2"/>
  <c r="AD16" i="2"/>
  <c r="Z20" i="2"/>
  <c r="Z34" i="2"/>
  <c r="U26" i="2"/>
  <c r="U35" i="2"/>
  <c r="V26" i="2"/>
  <c r="V35" i="2"/>
  <c r="F43" i="2"/>
  <c r="N43" i="2"/>
  <c r="O43" i="2"/>
  <c r="O44" i="2" s="1"/>
  <c r="K41" i="2"/>
  <c r="K43" i="2"/>
  <c r="K44" i="2" s="1"/>
  <c r="P41" i="2"/>
  <c r="P43" i="2"/>
  <c r="P44" i="2" s="1"/>
  <c r="H43" i="2"/>
  <c r="L43" i="2"/>
  <c r="G41" i="2"/>
  <c r="G43" i="2"/>
  <c r="J44" i="2" s="1"/>
  <c r="Q43" i="2"/>
  <c r="Q44" i="2" s="1"/>
  <c r="O41" i="2"/>
  <c r="E41" i="2"/>
  <c r="E43" i="2"/>
  <c r="I43" i="2"/>
  <c r="I44" i="2" s="1"/>
  <c r="I30" i="2"/>
  <c r="I17" i="2"/>
  <c r="I20" i="2" s="1"/>
  <c r="I22" i="2" s="1"/>
  <c r="I24" i="2" s="1"/>
  <c r="H30" i="2"/>
  <c r="G30" i="2"/>
  <c r="G17" i="2"/>
  <c r="G34" i="2" s="1"/>
  <c r="K30" i="2"/>
  <c r="J30" i="2"/>
  <c r="F20" i="2"/>
  <c r="F22" i="2" s="1"/>
  <c r="F24" i="2" s="1"/>
  <c r="F34" i="2"/>
  <c r="H20" i="2"/>
  <c r="H22" i="2" s="1"/>
  <c r="H24" i="2" s="1"/>
  <c r="H34" i="2"/>
  <c r="R20" i="2"/>
  <c r="R22" i="2" s="1"/>
  <c r="R24" i="2" s="1"/>
  <c r="R34" i="2"/>
  <c r="E20" i="2"/>
  <c r="E22" i="2" s="1"/>
  <c r="E24" i="2" s="1"/>
  <c r="E34" i="2"/>
  <c r="C20" i="2"/>
  <c r="C22" i="2" s="1"/>
  <c r="C24" i="2" s="1"/>
  <c r="C34" i="2"/>
  <c r="D20" i="2"/>
  <c r="D22" i="2" s="1"/>
  <c r="D24" i="2" s="1"/>
  <c r="D34" i="2"/>
  <c r="B20" i="2"/>
  <c r="B22" i="2" s="1"/>
  <c r="B24" i="2" s="1"/>
  <c r="B34" i="2"/>
  <c r="N30" i="2"/>
  <c r="J17" i="2"/>
  <c r="J20" i="2" s="1"/>
  <c r="J22" i="2" s="1"/>
  <c r="J24" i="2" s="1"/>
  <c r="L41" i="2"/>
  <c r="K17" i="2"/>
  <c r="K20" i="2" s="1"/>
  <c r="K22" i="2" s="1"/>
  <c r="K24" i="2" s="1"/>
  <c r="O30" i="2"/>
  <c r="O20" i="2"/>
  <c r="O22" i="2" s="1"/>
  <c r="O24" i="2" s="1"/>
  <c r="O34" i="2"/>
  <c r="P30" i="2"/>
  <c r="P20" i="2"/>
  <c r="P22" i="2" s="1"/>
  <c r="P24" i="2" s="1"/>
  <c r="P34" i="2"/>
  <c r="M30" i="2"/>
  <c r="M35" i="2"/>
  <c r="Q30" i="2"/>
  <c r="M34" i="2"/>
  <c r="Q20" i="2"/>
  <c r="Q22" i="2" s="1"/>
  <c r="Q24" i="2" s="1"/>
  <c r="Q34" i="2"/>
  <c r="N17" i="2"/>
  <c r="R30" i="2"/>
  <c r="L17" i="2"/>
  <c r="L30" i="2"/>
  <c r="F30" i="2"/>
  <c r="AA20" i="2" l="1"/>
  <c r="AA21" i="2" s="1"/>
  <c r="AA22" i="2" s="1"/>
  <c r="AA24" i="2" s="1"/>
  <c r="AC17" i="2"/>
  <c r="AC34" i="2" s="1"/>
  <c r="Z21" i="2"/>
  <c r="Z22" i="2" s="1"/>
  <c r="Z24" i="2" s="1"/>
  <c r="AB34" i="2"/>
  <c r="AD33" i="2"/>
  <c r="AD10" i="2"/>
  <c r="AD12" i="2" s="1"/>
  <c r="AD17" i="2" s="1"/>
  <c r="AE30" i="2"/>
  <c r="AB21" i="2"/>
  <c r="AB22" i="2" s="1"/>
  <c r="AB24" i="2" s="1"/>
  <c r="L44" i="2"/>
  <c r="N44" i="2"/>
  <c r="H44" i="2"/>
  <c r="I34" i="2"/>
  <c r="G20" i="2"/>
  <c r="G22" i="2" s="1"/>
  <c r="G24" i="2" s="1"/>
  <c r="G26" i="2" s="1"/>
  <c r="I26" i="2"/>
  <c r="I35" i="2"/>
  <c r="D26" i="2"/>
  <c r="D35" i="2"/>
  <c r="C26" i="2"/>
  <c r="C35" i="2"/>
  <c r="F26" i="2"/>
  <c r="F35" i="2"/>
  <c r="R26" i="2"/>
  <c r="R35" i="2"/>
  <c r="H26" i="2"/>
  <c r="H35" i="2"/>
  <c r="N20" i="2"/>
  <c r="N22" i="2" s="1"/>
  <c r="N24" i="2" s="1"/>
  <c r="N34" i="2"/>
  <c r="B26" i="2"/>
  <c r="B35" i="2"/>
  <c r="E26" i="2"/>
  <c r="E35" i="2"/>
  <c r="J34" i="2"/>
  <c r="J26" i="2"/>
  <c r="J35" i="2"/>
  <c r="K34" i="2"/>
  <c r="K26" i="2"/>
  <c r="K35" i="2"/>
  <c r="O26" i="2"/>
  <c r="O35" i="2"/>
  <c r="L20" i="2"/>
  <c r="L22" i="2" s="1"/>
  <c r="L24" i="2" s="1"/>
  <c r="L34" i="2"/>
  <c r="P26" i="2"/>
  <c r="P35" i="2"/>
  <c r="Q26" i="2"/>
  <c r="Q35" i="2"/>
  <c r="AC20" i="2" l="1"/>
  <c r="AC21" i="2" s="1"/>
  <c r="AC22" i="2" s="1"/>
  <c r="AC24" i="2" s="1"/>
  <c r="AC26" i="2" s="1"/>
  <c r="Z35" i="2"/>
  <c r="Z26" i="2"/>
  <c r="AD20" i="2"/>
  <c r="AD21" i="2" s="1"/>
  <c r="AD22" i="2" s="1"/>
  <c r="AD24" i="2" s="1"/>
  <c r="AD34" i="2"/>
  <c r="AE33" i="2"/>
  <c r="AE10" i="2"/>
  <c r="AE12" i="2" s="1"/>
  <c r="AA35" i="2"/>
  <c r="AA26" i="2"/>
  <c r="AB26" i="2"/>
  <c r="AB35" i="2"/>
  <c r="AE16" i="2"/>
  <c r="G35" i="2"/>
  <c r="N26" i="2"/>
  <c r="N35" i="2"/>
  <c r="L26" i="2"/>
  <c r="L35" i="2"/>
  <c r="AC35" i="2" l="1"/>
  <c r="AE17" i="2"/>
  <c r="AE20" i="2" s="1"/>
  <c r="AD26" i="2"/>
  <c r="AD35" i="2"/>
  <c r="AE34" i="2" l="1"/>
  <c r="AE21" i="2"/>
  <c r="AE22" i="2" s="1"/>
  <c r="AE24" i="2" s="1"/>
  <c r="AF24" i="2" l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AE35" i="2"/>
  <c r="AE26" i="2"/>
  <c r="AH4" i="2" l="1"/>
  <c r="AH6" i="2" s="1"/>
  <c r="AH7" i="2" s="1"/>
</calcChain>
</file>

<file path=xl/sharedStrings.xml><?xml version="1.0" encoding="utf-8"?>
<sst xmlns="http://schemas.openxmlformats.org/spreadsheetml/2006/main" count="78" uniqueCount="78">
  <si>
    <t>ticket</t>
  </si>
  <si>
    <t xml:space="preserve">price </t>
  </si>
  <si>
    <t>shares</t>
  </si>
  <si>
    <t>mc</t>
  </si>
  <si>
    <t>cash</t>
  </si>
  <si>
    <t>debt</t>
  </si>
  <si>
    <t>ev</t>
  </si>
  <si>
    <t>Founded in 2011</t>
  </si>
  <si>
    <t>reinvent security for the cloud era</t>
  </si>
  <si>
    <t>CRWD</t>
  </si>
  <si>
    <t>Q1 2021</t>
  </si>
  <si>
    <t>Q1 2022</t>
  </si>
  <si>
    <t>Q1 2023</t>
  </si>
  <si>
    <t>Q1 2024</t>
  </si>
  <si>
    <t>Q1 2025</t>
  </si>
  <si>
    <t>Subscriptions</t>
  </si>
  <si>
    <t>Professional services</t>
  </si>
  <si>
    <t>Revenue</t>
  </si>
  <si>
    <t>COGS Sbus</t>
  </si>
  <si>
    <t>COGS Services</t>
  </si>
  <si>
    <t>Gross Profit</t>
  </si>
  <si>
    <t>Gross Profit Subs</t>
  </si>
  <si>
    <t>Gross Profit Services</t>
  </si>
  <si>
    <t>S&amp;M</t>
  </si>
  <si>
    <t>R&amp;D</t>
  </si>
  <si>
    <t>G&amp;A</t>
  </si>
  <si>
    <t>Total Opex</t>
  </si>
  <si>
    <t>Operating Income</t>
  </si>
  <si>
    <t>Net Interest</t>
  </si>
  <si>
    <t>Other Income</t>
  </si>
  <si>
    <t>Pretax Income</t>
  </si>
  <si>
    <t>Taxes</t>
  </si>
  <si>
    <t>Net Income</t>
  </si>
  <si>
    <t>Shares</t>
  </si>
  <si>
    <t>EPS</t>
  </si>
  <si>
    <t>Q2 2021</t>
  </si>
  <si>
    <t>Q3 2021</t>
  </si>
  <si>
    <t>Q4 2021</t>
  </si>
  <si>
    <t>Q2 2022</t>
  </si>
  <si>
    <t>Q3 2022</t>
  </si>
  <si>
    <t>Q4 2022</t>
  </si>
  <si>
    <t>Q3 2023</t>
  </si>
  <si>
    <t>Q4 2023</t>
  </si>
  <si>
    <t>Q2 2023</t>
  </si>
  <si>
    <t>Q2 2024</t>
  </si>
  <si>
    <t>Q3 2024</t>
  </si>
  <si>
    <t>Q4 2024</t>
  </si>
  <si>
    <t>Non-Interest</t>
  </si>
  <si>
    <t xml:space="preserve">Net Income to CRWD </t>
  </si>
  <si>
    <t>Subscriptions Y/Y</t>
  </si>
  <si>
    <t>Professional services Y/Y</t>
  </si>
  <si>
    <t>Revenue Y/Y</t>
  </si>
  <si>
    <t>OM %</t>
  </si>
  <si>
    <t>NM%</t>
  </si>
  <si>
    <t>GM Services %</t>
  </si>
  <si>
    <t>GM Subs %</t>
  </si>
  <si>
    <t>CFFO</t>
  </si>
  <si>
    <t>CAPEX</t>
  </si>
  <si>
    <t>FCF</t>
  </si>
  <si>
    <t>SBC</t>
  </si>
  <si>
    <t>FCF-SBC</t>
  </si>
  <si>
    <t>is a global cybersecurity leader that delivers cybersecurity’s AI-native platform for the XDR era</t>
  </si>
  <si>
    <t> SaaS model, subscription based model</t>
  </si>
  <si>
    <t>US</t>
  </si>
  <si>
    <t>EMEA</t>
  </si>
  <si>
    <t>AP</t>
  </si>
  <si>
    <t>Other</t>
  </si>
  <si>
    <t>% Revenue</t>
  </si>
  <si>
    <t>Employees</t>
  </si>
  <si>
    <t>FCF TTM</t>
  </si>
  <si>
    <t>y/y</t>
  </si>
  <si>
    <t>Discount</t>
  </si>
  <si>
    <t>Maturity</t>
  </si>
  <si>
    <t>NPV</t>
  </si>
  <si>
    <t>Net Cash</t>
  </si>
  <si>
    <t>EV</t>
  </si>
  <si>
    <t>Price</t>
  </si>
  <si>
    <t>FCF/EV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</si>
</sst>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9" fontId="1" fillId="0" borderId="0" xfId="0" applyNumberFormat="1" applyFont="1"/>
    <xf numFmtId="164" fontId="1" fillId="0" borderId="0" xfId="0" applyNumberFormat="1" applyFont="1"/>
    <xf numFmtId="3" fontId="2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Shares</a:t>
            </a:r>
            <a:r>
              <a:rPr lang="en-GB" baseline="0"/>
              <a:t>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model!$B$1:$R$1</c:f>
              <c:strCache>
                <c:ptCount val="17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  <c:pt idx="11">
                  <c:v>Q4 2023</c:v>
                </c:pt>
                <c:pt idx="12">
                  <c:v>Q1 2024</c:v>
                </c:pt>
                <c:pt idx="13">
                  <c:v>Q2 2024</c:v>
                </c:pt>
                <c:pt idx="14">
                  <c:v>Q3 2024</c:v>
                </c:pt>
                <c:pt idx="15">
                  <c:v>Q4 2024</c:v>
                </c:pt>
                <c:pt idx="16">
                  <c:v>Q1 2025</c:v>
                </c:pt>
              </c:strCache>
            </c:strRef>
          </c:cat>
          <c:val>
            <c:numRef>
              <c:f>model!$B$25:$R$25</c:f>
              <c:numCache>
                <c:formatCode>General</c:formatCode>
                <c:ptCount val="17"/>
                <c:pt idx="0">
                  <c:v>213.12899999999999</c:v>
                </c:pt>
                <c:pt idx="1">
                  <c:v>216.69499999999999</c:v>
                </c:pt>
                <c:pt idx="2">
                  <c:v>219.40100000000001</c:v>
                </c:pt>
                <c:pt idx="3">
                  <c:v>221.7</c:v>
                </c:pt>
                <c:pt idx="4">
                  <c:v>224.15299999999999</c:v>
                </c:pt>
                <c:pt idx="5">
                  <c:v>226.36199999999999</c:v>
                </c:pt>
                <c:pt idx="6">
                  <c:v>228.29300000000001</c:v>
                </c:pt>
                <c:pt idx="7">
                  <c:v>229.66200000000001</c:v>
                </c:pt>
                <c:pt idx="8">
                  <c:v>231.179</c:v>
                </c:pt>
                <c:pt idx="9">
                  <c:v>232.554</c:v>
                </c:pt>
                <c:pt idx="10">
                  <c:v>233.785</c:v>
                </c:pt>
                <c:pt idx="11">
                  <c:v>235.02699999999999</c:v>
                </c:pt>
                <c:pt idx="12">
                  <c:v>240.59800000000001</c:v>
                </c:pt>
                <c:pt idx="13">
                  <c:v>242.14400000000001</c:v>
                </c:pt>
                <c:pt idx="14">
                  <c:v>243.79900000000001</c:v>
                </c:pt>
                <c:pt idx="15">
                  <c:v>247.93600000000001</c:v>
                </c:pt>
                <c:pt idx="16">
                  <c:v>250.16399999999999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9-49F7-B94D-9BD1FC6CB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527663"/>
        <c:axId val="580541583"/>
      </c:barChart>
      <c:catAx>
        <c:axId val="58052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541583"/>
        <c:crosses val="autoZero"/>
        <c:auto val="1"/>
        <c:lblAlgn val="ctr"/>
        <c:lblOffset val="100"/>
        <c:noMultiLvlLbl val="0"/>
      </c:catAx>
      <c:valAx>
        <c:axId val="58054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52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model!$B$1:$R$1</c:f>
              <c:strCache>
                <c:ptCount val="17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  <c:pt idx="11">
                  <c:v>Q4 2023</c:v>
                </c:pt>
                <c:pt idx="12">
                  <c:v>Q1 2024</c:v>
                </c:pt>
                <c:pt idx="13">
                  <c:v>Q2 2024</c:v>
                </c:pt>
                <c:pt idx="14">
                  <c:v>Q3 2024</c:v>
                </c:pt>
                <c:pt idx="15">
                  <c:v>Q4 2024</c:v>
                </c:pt>
                <c:pt idx="16">
                  <c:v>Q1 2025</c:v>
                </c:pt>
              </c:strCache>
            </c:strRef>
          </c:cat>
          <c:val>
            <c:numRef>
              <c:f>model!$B$5:$R$5</c:f>
              <c:numCache>
                <c:formatCode>#,##0</c:formatCode>
                <c:ptCount val="17"/>
                <c:pt idx="0">
                  <c:v>178.078</c:v>
                </c:pt>
                <c:pt idx="1">
                  <c:v>198.971</c:v>
                </c:pt>
                <c:pt idx="2">
                  <c:v>232.46</c:v>
                </c:pt>
                <c:pt idx="3">
                  <c:v>264.92900000000003</c:v>
                </c:pt>
                <c:pt idx="4">
                  <c:v>302.84300000000002</c:v>
                </c:pt>
                <c:pt idx="5">
                  <c:v>337.69</c:v>
                </c:pt>
                <c:pt idx="6">
                  <c:v>380.05099999999999</c:v>
                </c:pt>
                <c:pt idx="7">
                  <c:v>431.01</c:v>
                </c:pt>
                <c:pt idx="8">
                  <c:v>487.834</c:v>
                </c:pt>
                <c:pt idx="9">
                  <c:v>535.15300000000002</c:v>
                </c:pt>
                <c:pt idx="10">
                  <c:v>580.88199999999995</c:v>
                </c:pt>
                <c:pt idx="11">
                  <c:v>637.36700000000008</c:v>
                </c:pt>
                <c:pt idx="12">
                  <c:v>692.57999999999993</c:v>
                </c:pt>
                <c:pt idx="13">
                  <c:v>731.62599999999998</c:v>
                </c:pt>
                <c:pt idx="14">
                  <c:v>786.01400000000001</c:v>
                </c:pt>
                <c:pt idx="15">
                  <c:v>845.33500000000004</c:v>
                </c:pt>
                <c:pt idx="16">
                  <c:v>921.03600000000006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2-4930-9E73-4F19DFC2FD6D}"/>
            </c:ext>
          </c:extLst>
        </c:ser>
        <c:ser>
          <c:idx val="1"/>
          <c:order val="1"/>
          <c:tx>
            <c:v>Operating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model!$B$1:$R$1</c:f>
              <c:strCache>
                <c:ptCount val="17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  <c:pt idx="11">
                  <c:v>Q4 2023</c:v>
                </c:pt>
                <c:pt idx="12">
                  <c:v>Q1 2024</c:v>
                </c:pt>
                <c:pt idx="13">
                  <c:v>Q2 2024</c:v>
                </c:pt>
                <c:pt idx="14">
                  <c:v>Q3 2024</c:v>
                </c:pt>
                <c:pt idx="15">
                  <c:v>Q4 2024</c:v>
                </c:pt>
                <c:pt idx="16">
                  <c:v>Q1 2025</c:v>
                </c:pt>
              </c:strCache>
            </c:strRef>
          </c:cat>
          <c:val>
            <c:numRef>
              <c:f>model!$B$17:$R$17</c:f>
              <c:numCache>
                <c:formatCode>#,##0</c:formatCode>
                <c:ptCount val="17"/>
                <c:pt idx="0">
                  <c:v>-22.575999999999993</c:v>
                </c:pt>
                <c:pt idx="1">
                  <c:v>-29.990999999999985</c:v>
                </c:pt>
                <c:pt idx="2">
                  <c:v>-24.15900000000002</c:v>
                </c:pt>
                <c:pt idx="3">
                  <c:v>-15.802999999999969</c:v>
                </c:pt>
                <c:pt idx="4">
                  <c:v>-31.347000000000008</c:v>
                </c:pt>
                <c:pt idx="5">
                  <c:v>-47.402999999999935</c:v>
                </c:pt>
                <c:pt idx="6">
                  <c:v>-40.26400000000001</c:v>
                </c:pt>
                <c:pt idx="7">
                  <c:v>-23.533999999999992</c:v>
                </c:pt>
                <c:pt idx="8">
                  <c:v>-23.883000000000038</c:v>
                </c:pt>
                <c:pt idx="9">
                  <c:v>-48.307000000000016</c:v>
                </c:pt>
                <c:pt idx="10">
                  <c:v>-56.422000000000082</c:v>
                </c:pt>
                <c:pt idx="11">
                  <c:v>-61.5</c:v>
                </c:pt>
                <c:pt idx="12">
                  <c:v>-19.456000000000131</c:v>
                </c:pt>
                <c:pt idx="13">
                  <c:v>-15.373000000000047</c:v>
                </c:pt>
                <c:pt idx="14">
                  <c:v>3.1629999999998972</c:v>
                </c:pt>
                <c:pt idx="15">
                  <c:v>29.671000000000049</c:v>
                </c:pt>
                <c:pt idx="16">
                  <c:v>6.9360000000000355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2-4930-9E73-4F19DFC2F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044239"/>
        <c:axId val="607061999"/>
      </c:barChart>
      <c:catAx>
        <c:axId val="60704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61999"/>
        <c:crosses val="autoZero"/>
        <c:auto val="1"/>
        <c:lblAlgn val="ctr"/>
        <c:lblOffset val="100"/>
        <c:noMultiLvlLbl val="0"/>
      </c:catAx>
      <c:valAx>
        <c:axId val="60706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23</xdr:row>
      <xdr:rowOff>95250</xdr:rowOff>
    </xdr:from>
    <xdr:to>
      <xdr:col>17</xdr:col>
      <xdr:colOff>295275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B2DD8-6FCF-468E-B1B0-4A906D343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590549</xdr:colOff>
      <xdr:row>0</xdr:row>
      <xdr:rowOff>28575</xdr:rowOff>
    </xdr:from>
    <xdr:to>
      <xdr:col>19</xdr:col>
      <xdr:colOff>428624</xdr:colOff>
      <xdr:row>23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83FD7C-AE48-4B96-9A82-2F195501D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0</xdr:row>
      <xdr:rowOff>9525</xdr:rowOff>
    </xdr:from>
    <xdr:to>
      <xdr:col>18</xdr:col>
      <xdr:colOff>9525</xdr:colOff>
      <xdr:row>47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9F80F3-7AC1-C116-81F1-548318904084}"/>
            </a:ext>
          </a:extLst>
        </xdr:cNvPr>
        <xdr:cNvCxnSpPr/>
      </xdr:nvCxnSpPr>
      <xdr:spPr>
        <a:xfrm>
          <a:off x="11687175" y="9525"/>
          <a:ext cx="19050" cy="780097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0</xdr:row>
      <xdr:rowOff>28575</xdr:rowOff>
    </xdr:from>
    <xdr:to>
      <xdr:col>25</xdr:col>
      <xdr:colOff>19050</xdr:colOff>
      <xdr:row>48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36666BF-BDA2-8AD7-E8A2-E30B30C980D6}"/>
            </a:ext>
          </a:extLst>
        </xdr:cNvPr>
        <xdr:cNvCxnSpPr/>
      </xdr:nvCxnSpPr>
      <xdr:spPr>
        <a:xfrm>
          <a:off x="16202025" y="28575"/>
          <a:ext cx="0" cy="9182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0B2F-EE0A-4CB2-B7D2-05D26A8458A4}">
  <dimension ref="A1:B19"/>
  <sheetViews>
    <sheetView workbookViewId="0">
      <selection activeCell="B3" sqref="B3"/>
    </sheetView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9</v>
      </c>
    </row>
    <row r="2" spans="1:2" x14ac:dyDescent="0.2">
      <c r="A2" s="1" t="s">
        <v>1</v>
      </c>
      <c r="B2" s="1">
        <v>256</v>
      </c>
    </row>
    <row r="3" spans="1:2" x14ac:dyDescent="0.2">
      <c r="A3" s="1" t="s">
        <v>2</v>
      </c>
      <c r="B3" s="1">
        <f>230.883142+12.477497</f>
        <v>243.36063899999999</v>
      </c>
    </row>
    <row r="4" spans="1:2" x14ac:dyDescent="0.2">
      <c r="A4" s="1" t="s">
        <v>3</v>
      </c>
      <c r="B4" s="3">
        <f>+B2*B3</f>
        <v>62300.323583999998</v>
      </c>
    </row>
    <row r="5" spans="1:2" x14ac:dyDescent="0.2">
      <c r="A5" s="1" t="s">
        <v>4</v>
      </c>
      <c r="B5" s="3">
        <f>3702.437+58.419</f>
        <v>3760.8559999999998</v>
      </c>
    </row>
    <row r="6" spans="1:2" x14ac:dyDescent="0.2">
      <c r="A6" s="1" t="s">
        <v>5</v>
      </c>
      <c r="B6" s="3">
        <v>742.05</v>
      </c>
    </row>
    <row r="7" spans="1:2" x14ac:dyDescent="0.2">
      <c r="A7" s="1" t="s">
        <v>6</v>
      </c>
      <c r="B7" s="3">
        <f>+B4-B5+B6</f>
        <v>59281.517584000001</v>
      </c>
    </row>
    <row r="10" spans="1:2" x14ac:dyDescent="0.2">
      <c r="A10" s="1" t="s">
        <v>7</v>
      </c>
    </row>
    <row r="11" spans="1:2" x14ac:dyDescent="0.2">
      <c r="A11" s="1" t="s">
        <v>8</v>
      </c>
    </row>
    <row r="12" spans="1:2" x14ac:dyDescent="0.2">
      <c r="A12" s="1" t="s">
        <v>62</v>
      </c>
    </row>
    <row r="13" spans="1:2" x14ac:dyDescent="0.2">
      <c r="A13" s="1" t="s">
        <v>61</v>
      </c>
    </row>
    <row r="15" spans="1:2" x14ac:dyDescent="0.2">
      <c r="B15" s="1" t="s">
        <v>67</v>
      </c>
    </row>
    <row r="16" spans="1:2" x14ac:dyDescent="0.2">
      <c r="A16" s="1" t="s">
        <v>63</v>
      </c>
      <c r="B16" s="4">
        <v>0.68</v>
      </c>
    </row>
    <row r="17" spans="1:2" x14ac:dyDescent="0.2">
      <c r="A17" s="1" t="s">
        <v>64</v>
      </c>
      <c r="B17" s="4">
        <v>0.15</v>
      </c>
    </row>
    <row r="18" spans="1:2" x14ac:dyDescent="0.2">
      <c r="A18" s="1" t="s">
        <v>65</v>
      </c>
      <c r="B18" s="4">
        <v>0.1</v>
      </c>
    </row>
    <row r="19" spans="1:2" x14ac:dyDescent="0.2">
      <c r="A19" s="1" t="s">
        <v>66</v>
      </c>
      <c r="B19" s="4">
        <v>7.0000000000000007E-2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B5E9-C1A8-446C-AD41-0E47FE20C80F}">
  <dimension ref="A1:CK4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G12" sqref="AG12"/>
    </sheetView>
  </sheetViews>
  <sheetFormatPr defaultRowHeight="12.75" x14ac:dyDescent="0.2"/>
  <cols>
    <col min="1" max="1" width="23.28515625" style="1" bestFit="1" customWidth="1"/>
    <col min="2" max="18" width="9.28515625" style="1" bestFit="1" customWidth="1"/>
    <col min="19" max="20" width="9.140625" style="1"/>
    <col min="21" max="33" width="9.28515625" style="1" bestFit="1" customWidth="1"/>
    <col min="34" max="34" width="12.5703125" style="1" bestFit="1" customWidth="1"/>
    <col min="35" max="89" width="9.28515625" style="1" bestFit="1" customWidth="1"/>
    <col min="90" max="16384" width="9.140625" style="1"/>
  </cols>
  <sheetData>
    <row r="1" spans="1:34" x14ac:dyDescent="0.2">
      <c r="B1" s="2" t="s">
        <v>10</v>
      </c>
      <c r="C1" s="2" t="s">
        <v>35</v>
      </c>
      <c r="D1" s="2" t="s">
        <v>36</v>
      </c>
      <c r="E1" s="2" t="s">
        <v>37</v>
      </c>
      <c r="F1" s="2" t="s">
        <v>11</v>
      </c>
      <c r="G1" s="2" t="s">
        <v>38</v>
      </c>
      <c r="H1" s="2" t="s">
        <v>39</v>
      </c>
      <c r="I1" s="2" t="s">
        <v>40</v>
      </c>
      <c r="J1" s="2" t="s">
        <v>12</v>
      </c>
      <c r="K1" s="2" t="s">
        <v>43</v>
      </c>
      <c r="L1" s="2" t="s">
        <v>41</v>
      </c>
      <c r="M1" s="2" t="s">
        <v>42</v>
      </c>
      <c r="N1" s="2" t="s">
        <v>13</v>
      </c>
      <c r="O1" s="2" t="s">
        <v>44</v>
      </c>
      <c r="P1" s="2" t="s">
        <v>45</v>
      </c>
      <c r="Q1" s="2" t="s">
        <v>46</v>
      </c>
      <c r="R1" s="2" t="s">
        <v>14</v>
      </c>
      <c r="U1" s="2">
        <v>2020</v>
      </c>
      <c r="V1" s="2">
        <v>2021</v>
      </c>
      <c r="W1" s="2">
        <v>2022</v>
      </c>
      <c r="X1" s="2">
        <v>2023</v>
      </c>
      <c r="Y1" s="2">
        <v>2024</v>
      </c>
      <c r="Z1" s="2">
        <f>+Y1+1</f>
        <v>2025</v>
      </c>
      <c r="AA1" s="2">
        <f t="shared" ref="AA1:AE1" si="0">+Z1+1</f>
        <v>2026</v>
      </c>
      <c r="AB1" s="2">
        <f t="shared" si="0"/>
        <v>2027</v>
      </c>
      <c r="AC1" s="2">
        <f t="shared" si="0"/>
        <v>2028</v>
      </c>
      <c r="AD1" s="2">
        <f t="shared" si="0"/>
        <v>2029</v>
      </c>
      <c r="AE1" s="2">
        <f t="shared" si="0"/>
        <v>2030</v>
      </c>
    </row>
    <row r="2" spans="1:34" x14ac:dyDescent="0.2">
      <c r="A2" s="1" t="s">
        <v>15</v>
      </c>
      <c r="B2" s="3">
        <v>162.22200000000001</v>
      </c>
      <c r="C2" s="3">
        <v>184.256</v>
      </c>
      <c r="D2" s="3">
        <v>213.53</v>
      </c>
      <c r="E2" s="3">
        <v>244.66200000000001</v>
      </c>
      <c r="F2" s="3">
        <v>281.22800000000001</v>
      </c>
      <c r="G2" s="3">
        <v>315.83600000000001</v>
      </c>
      <c r="H2" s="3">
        <v>357.03</v>
      </c>
      <c r="I2" s="3">
        <v>405.44299999999998</v>
      </c>
      <c r="J2" s="3">
        <v>459.822</v>
      </c>
      <c r="K2" s="3">
        <v>506.19900000000001</v>
      </c>
      <c r="L2" s="3">
        <v>547.37599999999998</v>
      </c>
      <c r="M2" s="3">
        <v>598.26300000000003</v>
      </c>
      <c r="N2" s="3">
        <v>651.17499999999995</v>
      </c>
      <c r="O2" s="3">
        <v>689.97199999999998</v>
      </c>
      <c r="P2" s="3">
        <v>733.46299999999997</v>
      </c>
      <c r="Q2" s="3">
        <v>795.947</v>
      </c>
      <c r="R2" s="3">
        <v>872.17200000000003</v>
      </c>
      <c r="U2" s="3">
        <v>436.32299999999998</v>
      </c>
      <c r="V2" s="3">
        <v>804.67</v>
      </c>
      <c r="W2" s="3">
        <v>1359.537</v>
      </c>
      <c r="X2" s="3">
        <v>2111.66</v>
      </c>
      <c r="Y2" s="3">
        <v>2870.5569999999998</v>
      </c>
      <c r="Z2" s="3">
        <f>+Y2*1.3</f>
        <v>3731.7240999999999</v>
      </c>
      <c r="AA2" s="3">
        <f>+Z2*1.29</f>
        <v>4813.9240890000001</v>
      </c>
      <c r="AB2" s="3">
        <f>+AA2*1.27</f>
        <v>6113.6835930300003</v>
      </c>
      <c r="AC2" s="3">
        <f>+AB2*1.25</f>
        <v>7642.1044912875004</v>
      </c>
      <c r="AD2" s="3">
        <f>+AC2*1.225</f>
        <v>9361.5780018271889</v>
      </c>
      <c r="AE2" s="3">
        <f>+AD2*1.2</f>
        <v>11233.893602192626</v>
      </c>
      <c r="AG2" s="1" t="s">
        <v>71</v>
      </c>
      <c r="AH2" s="4">
        <v>0.08</v>
      </c>
    </row>
    <row r="3" spans="1:34" x14ac:dyDescent="0.2">
      <c r="A3" s="1" t="s">
        <v>16</v>
      </c>
      <c r="B3" s="3">
        <v>15.856</v>
      </c>
      <c r="C3" s="3">
        <v>14.715</v>
      </c>
      <c r="D3" s="3">
        <v>18.93</v>
      </c>
      <c r="E3" s="3">
        <v>20.266999999999999</v>
      </c>
      <c r="F3" s="3">
        <v>21.614999999999998</v>
      </c>
      <c r="G3" s="3">
        <v>21.853999999999999</v>
      </c>
      <c r="H3" s="3">
        <v>23.021000000000001</v>
      </c>
      <c r="I3" s="3">
        <v>25.567</v>
      </c>
      <c r="J3" s="3">
        <v>28.012</v>
      </c>
      <c r="K3" s="3">
        <v>28.954000000000001</v>
      </c>
      <c r="L3" s="3">
        <v>33.506</v>
      </c>
      <c r="M3" s="3">
        <v>39.103999999999999</v>
      </c>
      <c r="N3" s="3">
        <v>41.405000000000001</v>
      </c>
      <c r="O3" s="3">
        <v>41.654000000000003</v>
      </c>
      <c r="P3" s="3">
        <v>52.551000000000002</v>
      </c>
      <c r="Q3" s="3">
        <v>49.387999999999998</v>
      </c>
      <c r="R3" s="3">
        <v>48.863999999999997</v>
      </c>
      <c r="U3" s="3">
        <v>45.09</v>
      </c>
      <c r="V3" s="3">
        <v>69.768000000000001</v>
      </c>
      <c r="W3" s="3">
        <v>92.057000000000002</v>
      </c>
      <c r="X3" s="3">
        <v>129.57599999999999</v>
      </c>
      <c r="Y3" s="3">
        <v>184.99799999999999</v>
      </c>
      <c r="Z3" s="3">
        <f>+Y3*1.3</f>
        <v>240.4974</v>
      </c>
      <c r="AA3" s="3">
        <f>+Z3*1.25</f>
        <v>300.62175000000002</v>
      </c>
      <c r="AB3" s="3">
        <f>+AA3*1.2</f>
        <v>360.74610000000001</v>
      </c>
      <c r="AC3" s="3">
        <f t="shared" ref="AC3:AE3" si="1">+AB3*1.2</f>
        <v>432.89532000000003</v>
      </c>
      <c r="AD3" s="3">
        <f>+AC3*1.2</f>
        <v>519.47438399999999</v>
      </c>
      <c r="AE3" s="3">
        <f t="shared" si="1"/>
        <v>623.36926080000001</v>
      </c>
      <c r="AG3" s="1" t="s">
        <v>72</v>
      </c>
      <c r="AH3" s="4">
        <v>0.03</v>
      </c>
    </row>
    <row r="4" spans="1:3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G4" s="1" t="s">
        <v>73</v>
      </c>
      <c r="AH4" s="5">
        <f>+NPV(AH2,Z24:CK24)</f>
        <v>53823.681588711399</v>
      </c>
    </row>
    <row r="5" spans="1:34" x14ac:dyDescent="0.2">
      <c r="A5" s="2" t="s">
        <v>17</v>
      </c>
      <c r="B5" s="6">
        <f>+B2+B3</f>
        <v>178.078</v>
      </c>
      <c r="C5" s="6">
        <f t="shared" ref="C5:R5" si="2">+C2+C3</f>
        <v>198.971</v>
      </c>
      <c r="D5" s="6">
        <f t="shared" si="2"/>
        <v>232.46</v>
      </c>
      <c r="E5" s="6">
        <f t="shared" si="2"/>
        <v>264.92900000000003</v>
      </c>
      <c r="F5" s="6">
        <f t="shared" si="2"/>
        <v>302.84300000000002</v>
      </c>
      <c r="G5" s="6">
        <f t="shared" si="2"/>
        <v>337.69</v>
      </c>
      <c r="H5" s="6">
        <f t="shared" si="2"/>
        <v>380.05099999999999</v>
      </c>
      <c r="I5" s="6">
        <f t="shared" si="2"/>
        <v>431.01</v>
      </c>
      <c r="J5" s="6">
        <f t="shared" si="2"/>
        <v>487.834</v>
      </c>
      <c r="K5" s="6">
        <f t="shared" si="2"/>
        <v>535.15300000000002</v>
      </c>
      <c r="L5" s="6">
        <f t="shared" si="2"/>
        <v>580.88199999999995</v>
      </c>
      <c r="M5" s="6">
        <f t="shared" si="2"/>
        <v>637.36700000000008</v>
      </c>
      <c r="N5" s="6">
        <f t="shared" si="2"/>
        <v>692.57999999999993</v>
      </c>
      <c r="O5" s="6">
        <f t="shared" si="2"/>
        <v>731.62599999999998</v>
      </c>
      <c r="P5" s="6">
        <f t="shared" si="2"/>
        <v>786.01400000000001</v>
      </c>
      <c r="Q5" s="6">
        <f t="shared" si="2"/>
        <v>845.33500000000004</v>
      </c>
      <c r="R5" s="6">
        <f t="shared" si="2"/>
        <v>921.03600000000006</v>
      </c>
      <c r="U5" s="6">
        <f t="shared" ref="U5:X5" si="3">+U2+U3</f>
        <v>481.41300000000001</v>
      </c>
      <c r="V5" s="6">
        <f t="shared" si="3"/>
        <v>874.43799999999999</v>
      </c>
      <c r="W5" s="6">
        <f t="shared" si="3"/>
        <v>1451.5940000000001</v>
      </c>
      <c r="X5" s="6">
        <f t="shared" si="3"/>
        <v>2241.2359999999999</v>
      </c>
      <c r="Y5" s="6">
        <f t="shared" ref="Y5:AE5" si="4">+Y2+Y3</f>
        <v>3055.5549999999998</v>
      </c>
      <c r="Z5" s="6">
        <f t="shared" si="4"/>
        <v>3972.2215000000001</v>
      </c>
      <c r="AA5" s="6">
        <f t="shared" si="4"/>
        <v>5114.5458390000003</v>
      </c>
      <c r="AB5" s="6">
        <f t="shared" si="4"/>
        <v>6474.4296930300006</v>
      </c>
      <c r="AC5" s="6">
        <f t="shared" si="4"/>
        <v>8074.9998112875001</v>
      </c>
      <c r="AD5" s="6">
        <f t="shared" si="4"/>
        <v>9881.0523858271881</v>
      </c>
      <c r="AE5" s="6">
        <f t="shared" si="4"/>
        <v>11857.262862992626</v>
      </c>
      <c r="AG5" s="1" t="s">
        <v>74</v>
      </c>
      <c r="AH5" s="3">
        <f>+main!B5-main!B6</f>
        <v>3018.8059999999996</v>
      </c>
    </row>
    <row r="6" spans="1:34" x14ac:dyDescent="0.2">
      <c r="AG6" s="1" t="s">
        <v>75</v>
      </c>
      <c r="AH6" s="3">
        <f>+AH4+AH5</f>
        <v>56842.487588711396</v>
      </c>
    </row>
    <row r="7" spans="1:34" x14ac:dyDescent="0.2">
      <c r="A7" s="1" t="s">
        <v>18</v>
      </c>
      <c r="B7" s="3">
        <v>37.244</v>
      </c>
      <c r="C7" s="3">
        <v>44.036999999999999</v>
      </c>
      <c r="D7" s="3">
        <v>49.582999999999998</v>
      </c>
      <c r="E7" s="3">
        <v>54.347999999999999</v>
      </c>
      <c r="F7" s="3">
        <v>64.903000000000006</v>
      </c>
      <c r="G7" s="3">
        <v>75.992999999999995</v>
      </c>
      <c r="H7" s="3">
        <v>85.463999999999999</v>
      </c>
      <c r="I7" s="3">
        <v>95.543999999999997</v>
      </c>
      <c r="J7" s="3">
        <v>107.94199999999999</v>
      </c>
      <c r="K7" s="3">
        <v>120.087</v>
      </c>
      <c r="L7" s="3">
        <v>134.22900000000001</v>
      </c>
      <c r="M7" s="3">
        <v>149.42599999999999</v>
      </c>
      <c r="N7" s="3">
        <v>142.1</v>
      </c>
      <c r="O7" s="3">
        <v>153.30600000000001</v>
      </c>
      <c r="P7" s="3">
        <v>159.83000000000001</v>
      </c>
      <c r="Q7" s="3">
        <v>175.50899999999999</v>
      </c>
      <c r="R7" s="3">
        <v>189.65700000000001</v>
      </c>
      <c r="U7" s="3">
        <v>112.474</v>
      </c>
      <c r="V7" s="3">
        <v>185.21199999999999</v>
      </c>
      <c r="W7" s="3">
        <v>321.904</v>
      </c>
      <c r="X7" s="3">
        <v>511.68400000000003</v>
      </c>
      <c r="Y7" s="3">
        <v>630.745</v>
      </c>
      <c r="Z7" s="3">
        <f>+Y7*1.2</f>
        <v>756.89400000000001</v>
      </c>
      <c r="AA7" s="3">
        <f>+Z7*1.18</f>
        <v>893.13491999999997</v>
      </c>
      <c r="AB7" s="3">
        <f t="shared" ref="AB7:AE7" si="5">+AA7*1.18</f>
        <v>1053.8992056</v>
      </c>
      <c r="AC7" s="3">
        <f t="shared" si="5"/>
        <v>1243.6010626079999</v>
      </c>
      <c r="AD7" s="3">
        <f t="shared" si="5"/>
        <v>1467.4492538774398</v>
      </c>
      <c r="AE7" s="3">
        <f t="shared" si="5"/>
        <v>1731.5901195753788</v>
      </c>
      <c r="AG7" s="1" t="s">
        <v>76</v>
      </c>
      <c r="AH7" s="5">
        <f>+AH6/R25</f>
        <v>227.22089344874323</v>
      </c>
    </row>
    <row r="8" spans="1:34" x14ac:dyDescent="0.2">
      <c r="A8" s="1" t="s">
        <v>19</v>
      </c>
      <c r="B8" s="3">
        <v>9.6509999999999998</v>
      </c>
      <c r="C8" s="3">
        <v>10.353999999999999</v>
      </c>
      <c r="D8" s="3">
        <v>11.944000000000001</v>
      </c>
      <c r="E8" s="3">
        <v>12.384</v>
      </c>
      <c r="F8" s="3">
        <v>13.602</v>
      </c>
      <c r="G8" s="3">
        <v>14.439</v>
      </c>
      <c r="H8" s="3">
        <v>16.2</v>
      </c>
      <c r="I8" s="3">
        <v>17.076000000000001</v>
      </c>
      <c r="J8" s="3">
        <v>18.89</v>
      </c>
      <c r="K8" s="3">
        <v>20.48</v>
      </c>
      <c r="L8" s="3">
        <v>23.998999999999999</v>
      </c>
      <c r="M8" s="3">
        <v>26.178000000000001</v>
      </c>
      <c r="N8" s="3">
        <v>27.13</v>
      </c>
      <c r="O8" s="3">
        <v>29.611000000000001</v>
      </c>
      <c r="P8" s="3">
        <v>35.173999999999999</v>
      </c>
      <c r="Q8" s="3">
        <v>33.063000000000002</v>
      </c>
      <c r="R8" s="3">
        <v>35.345999999999997</v>
      </c>
      <c r="U8" s="3">
        <v>29.152999999999999</v>
      </c>
      <c r="V8" s="3">
        <v>44.332999999999998</v>
      </c>
      <c r="W8" s="3">
        <v>61.317</v>
      </c>
      <c r="X8" s="3">
        <v>89.546999999999997</v>
      </c>
      <c r="Y8" s="3">
        <v>124.97799999999999</v>
      </c>
      <c r="Z8" s="3">
        <f>+Y8*1.2</f>
        <v>149.97359999999998</v>
      </c>
      <c r="AA8" s="3">
        <f>+Z8*1.19</f>
        <v>178.46858399999996</v>
      </c>
      <c r="AB8" s="3">
        <f>+AA8*1.18</f>
        <v>210.59292911999995</v>
      </c>
      <c r="AC8" s="3">
        <f>+AB8*1.18</f>
        <v>248.49965636159993</v>
      </c>
      <c r="AD8" s="3">
        <f>+AC8*1.17</f>
        <v>290.74459794307188</v>
      </c>
      <c r="AE8" s="3">
        <f>+AD8*1.2</f>
        <v>348.89351753168626</v>
      </c>
    </row>
    <row r="9" spans="1:34" x14ac:dyDescent="0.2">
      <c r="A9" s="1" t="s">
        <v>21</v>
      </c>
      <c r="B9" s="3">
        <f>+B2-B7</f>
        <v>124.97800000000001</v>
      </c>
      <c r="C9" s="3">
        <f t="shared" ref="C9:R9" si="6">+C2-C7</f>
        <v>140.21899999999999</v>
      </c>
      <c r="D9" s="3">
        <f t="shared" si="6"/>
        <v>163.947</v>
      </c>
      <c r="E9" s="3">
        <f t="shared" si="6"/>
        <v>190.31400000000002</v>
      </c>
      <c r="F9" s="3">
        <f t="shared" si="6"/>
        <v>216.32499999999999</v>
      </c>
      <c r="G9" s="3">
        <f t="shared" si="6"/>
        <v>239.84300000000002</v>
      </c>
      <c r="H9" s="3">
        <f t="shared" si="6"/>
        <v>271.56599999999997</v>
      </c>
      <c r="I9" s="3">
        <f t="shared" si="6"/>
        <v>309.899</v>
      </c>
      <c r="J9" s="3">
        <f t="shared" si="6"/>
        <v>351.88</v>
      </c>
      <c r="K9" s="3">
        <f t="shared" si="6"/>
        <v>386.11200000000002</v>
      </c>
      <c r="L9" s="3">
        <f t="shared" si="6"/>
        <v>413.14699999999993</v>
      </c>
      <c r="M9" s="3">
        <f t="shared" si="6"/>
        <v>448.83700000000005</v>
      </c>
      <c r="N9" s="3">
        <f t="shared" si="6"/>
        <v>509.07499999999993</v>
      </c>
      <c r="O9" s="3">
        <f t="shared" si="6"/>
        <v>536.66599999999994</v>
      </c>
      <c r="P9" s="3">
        <f t="shared" si="6"/>
        <v>573.63299999999992</v>
      </c>
      <c r="Q9" s="3">
        <f t="shared" si="6"/>
        <v>620.43799999999999</v>
      </c>
      <c r="R9" s="3">
        <f t="shared" si="6"/>
        <v>682.51499999999999</v>
      </c>
      <c r="U9" s="3">
        <f t="shared" ref="U9:X9" si="7">+U2-U7</f>
        <v>323.84899999999999</v>
      </c>
      <c r="V9" s="3">
        <f t="shared" si="7"/>
        <v>619.45799999999997</v>
      </c>
      <c r="W9" s="3">
        <f t="shared" si="7"/>
        <v>1037.633</v>
      </c>
      <c r="X9" s="3">
        <f t="shared" si="7"/>
        <v>1599.9759999999999</v>
      </c>
      <c r="Y9" s="3">
        <f t="shared" ref="Y9:AE9" si="8">+Y2-Y7</f>
        <v>2239.8119999999999</v>
      </c>
      <c r="Z9" s="3">
        <f t="shared" si="8"/>
        <v>2974.8301000000001</v>
      </c>
      <c r="AA9" s="3">
        <f t="shared" si="8"/>
        <v>3920.7891690000001</v>
      </c>
      <c r="AB9" s="3">
        <f t="shared" si="8"/>
        <v>5059.7843874300006</v>
      </c>
      <c r="AC9" s="3">
        <f t="shared" si="8"/>
        <v>6398.5034286795008</v>
      </c>
      <c r="AD9" s="3">
        <f t="shared" si="8"/>
        <v>7894.1287479497496</v>
      </c>
      <c r="AE9" s="3">
        <f t="shared" si="8"/>
        <v>9502.3034826172461</v>
      </c>
    </row>
    <row r="10" spans="1:34" x14ac:dyDescent="0.2">
      <c r="A10" s="1" t="s">
        <v>22</v>
      </c>
      <c r="B10" s="3">
        <f t="shared" ref="B10:R10" si="9">+B3-B8</f>
        <v>6.2050000000000001</v>
      </c>
      <c r="C10" s="3">
        <f t="shared" si="9"/>
        <v>4.3610000000000007</v>
      </c>
      <c r="D10" s="3">
        <f t="shared" si="9"/>
        <v>6.9859999999999989</v>
      </c>
      <c r="E10" s="3">
        <f t="shared" si="9"/>
        <v>7.8829999999999991</v>
      </c>
      <c r="F10" s="3">
        <f t="shared" si="9"/>
        <v>8.0129999999999981</v>
      </c>
      <c r="G10" s="3">
        <f t="shared" si="9"/>
        <v>7.4149999999999991</v>
      </c>
      <c r="H10" s="3">
        <f t="shared" si="9"/>
        <v>6.8210000000000015</v>
      </c>
      <c r="I10" s="3">
        <f t="shared" si="9"/>
        <v>8.4909999999999997</v>
      </c>
      <c r="J10" s="3">
        <f t="shared" si="9"/>
        <v>9.1219999999999999</v>
      </c>
      <c r="K10" s="3">
        <f t="shared" si="9"/>
        <v>8.4740000000000002</v>
      </c>
      <c r="L10" s="3">
        <f t="shared" si="9"/>
        <v>9.5070000000000014</v>
      </c>
      <c r="M10" s="3">
        <f t="shared" si="9"/>
        <v>12.925999999999998</v>
      </c>
      <c r="N10" s="3">
        <f t="shared" si="9"/>
        <v>14.275000000000002</v>
      </c>
      <c r="O10" s="3">
        <f t="shared" si="9"/>
        <v>12.043000000000003</v>
      </c>
      <c r="P10" s="3">
        <f t="shared" si="9"/>
        <v>17.377000000000002</v>
      </c>
      <c r="Q10" s="3">
        <f t="shared" si="9"/>
        <v>16.324999999999996</v>
      </c>
      <c r="R10" s="3">
        <f t="shared" si="9"/>
        <v>13.518000000000001</v>
      </c>
      <c r="U10" s="3">
        <f t="shared" ref="U10:X10" si="10">+U3-U8</f>
        <v>15.937000000000005</v>
      </c>
      <c r="V10" s="3">
        <f t="shared" si="10"/>
        <v>25.435000000000002</v>
      </c>
      <c r="W10" s="3">
        <f t="shared" si="10"/>
        <v>30.740000000000002</v>
      </c>
      <c r="X10" s="3">
        <f t="shared" si="10"/>
        <v>40.028999999999996</v>
      </c>
      <c r="Y10" s="3">
        <f t="shared" ref="Y10:AE10" si="11">+Y3-Y8</f>
        <v>60.019999999999996</v>
      </c>
      <c r="Z10" s="3">
        <f t="shared" si="11"/>
        <v>90.523800000000023</v>
      </c>
      <c r="AA10" s="3">
        <f t="shared" si="11"/>
        <v>122.15316600000006</v>
      </c>
      <c r="AB10" s="3">
        <f t="shared" si="11"/>
        <v>150.15317088000006</v>
      </c>
      <c r="AC10" s="3">
        <f t="shared" si="11"/>
        <v>184.39566363840009</v>
      </c>
      <c r="AD10" s="3">
        <f t="shared" si="11"/>
        <v>228.72978605692811</v>
      </c>
      <c r="AE10" s="3">
        <f t="shared" si="11"/>
        <v>274.47574326831375</v>
      </c>
    </row>
    <row r="11" spans="1:34" x14ac:dyDescent="0.2">
      <c r="AG11" s="1" t="s">
        <v>77</v>
      </c>
      <c r="AH11" s="7">
        <f>+R43/main!B7</f>
        <v>1.8295668603003693E-2</v>
      </c>
    </row>
    <row r="12" spans="1:34" x14ac:dyDescent="0.2">
      <c r="A12" s="2" t="s">
        <v>20</v>
      </c>
      <c r="B12" s="6">
        <f>+B9+B10</f>
        <v>131.18300000000002</v>
      </c>
      <c r="C12" s="6">
        <f t="shared" ref="C12:R12" si="12">+C9+C10</f>
        <v>144.57999999999998</v>
      </c>
      <c r="D12" s="6">
        <f t="shared" si="12"/>
        <v>170.93299999999999</v>
      </c>
      <c r="E12" s="6">
        <f t="shared" si="12"/>
        <v>198.19700000000003</v>
      </c>
      <c r="F12" s="6">
        <f t="shared" si="12"/>
        <v>224.33799999999999</v>
      </c>
      <c r="G12" s="6">
        <f t="shared" si="12"/>
        <v>247.25800000000001</v>
      </c>
      <c r="H12" s="6">
        <f t="shared" si="12"/>
        <v>278.387</v>
      </c>
      <c r="I12" s="6">
        <f t="shared" si="12"/>
        <v>318.39</v>
      </c>
      <c r="J12" s="6">
        <f t="shared" si="12"/>
        <v>361.00200000000001</v>
      </c>
      <c r="K12" s="6">
        <f t="shared" si="12"/>
        <v>394.58600000000001</v>
      </c>
      <c r="L12" s="6">
        <f t="shared" si="12"/>
        <v>422.65399999999994</v>
      </c>
      <c r="M12" s="6">
        <f t="shared" si="12"/>
        <v>461.76300000000003</v>
      </c>
      <c r="N12" s="6">
        <f t="shared" si="12"/>
        <v>523.34999999999991</v>
      </c>
      <c r="O12" s="6">
        <f t="shared" si="12"/>
        <v>548.70899999999995</v>
      </c>
      <c r="P12" s="6">
        <f t="shared" si="12"/>
        <v>591.00999999999988</v>
      </c>
      <c r="Q12" s="6">
        <f t="shared" si="12"/>
        <v>636.76300000000003</v>
      </c>
      <c r="R12" s="6">
        <f t="shared" si="12"/>
        <v>696.03300000000002</v>
      </c>
      <c r="U12" s="6">
        <f t="shared" ref="U12:X12" si="13">+U9+U10</f>
        <v>339.786</v>
      </c>
      <c r="V12" s="6">
        <f t="shared" si="13"/>
        <v>644.89300000000003</v>
      </c>
      <c r="W12" s="6">
        <f t="shared" si="13"/>
        <v>1068.373</v>
      </c>
      <c r="X12" s="6">
        <f t="shared" si="13"/>
        <v>1640.0049999999999</v>
      </c>
      <c r="Y12" s="6">
        <f t="shared" ref="Y12:AE12" si="14">+Y9+Y10</f>
        <v>2299.8319999999999</v>
      </c>
      <c r="Z12" s="6">
        <f t="shared" si="14"/>
        <v>3065.3539000000001</v>
      </c>
      <c r="AA12" s="6">
        <f t="shared" si="14"/>
        <v>4042.9423350000002</v>
      </c>
      <c r="AB12" s="6">
        <f t="shared" si="14"/>
        <v>5209.9375583100009</v>
      </c>
      <c r="AC12" s="6">
        <f t="shared" si="14"/>
        <v>6582.8990923179008</v>
      </c>
      <c r="AD12" s="6">
        <f t="shared" si="14"/>
        <v>8122.8585340066775</v>
      </c>
      <c r="AE12" s="6">
        <f t="shared" si="14"/>
        <v>9776.7792258855607</v>
      </c>
    </row>
    <row r="13" spans="1:34" x14ac:dyDescent="0.2">
      <c r="A13" s="1" t="s">
        <v>23</v>
      </c>
      <c r="B13" s="3">
        <v>88.138000000000005</v>
      </c>
      <c r="C13" s="3">
        <v>95.126999999999995</v>
      </c>
      <c r="D13" s="3">
        <v>105.602</v>
      </c>
      <c r="E13" s="3">
        <v>112.449</v>
      </c>
      <c r="F13" s="3">
        <v>135.131</v>
      </c>
      <c r="G13" s="3">
        <v>153.86099999999999</v>
      </c>
      <c r="H13" s="3">
        <v>164.96</v>
      </c>
      <c r="I13" s="3">
        <v>162.59399999999999</v>
      </c>
      <c r="J13" s="3">
        <v>193.53200000000001</v>
      </c>
      <c r="K13" s="3">
        <v>224.76599999999999</v>
      </c>
      <c r="L13" s="3">
        <v>239.672</v>
      </c>
      <c r="M13" s="3">
        <v>246.43899999999999</v>
      </c>
      <c r="N13" s="3">
        <v>281.10700000000003</v>
      </c>
      <c r="O13" s="3">
        <v>282.916</v>
      </c>
      <c r="P13" s="3">
        <v>286.18599999999998</v>
      </c>
      <c r="Q13" s="3">
        <v>290.35700000000003</v>
      </c>
      <c r="R13" s="3">
        <v>350.11399999999998</v>
      </c>
      <c r="U13" s="3">
        <v>266.59500000000003</v>
      </c>
      <c r="V13" s="3">
        <v>401.31599999999997</v>
      </c>
      <c r="W13" s="3">
        <v>616.54600000000005</v>
      </c>
      <c r="X13" s="3">
        <v>904.40899999999999</v>
      </c>
      <c r="Y13" s="3">
        <v>1140.566</v>
      </c>
      <c r="Z13" s="3">
        <f>+Z5*0.28</f>
        <v>1112.2220200000002</v>
      </c>
      <c r="AA13" s="3">
        <f>+AA5*0.27</f>
        <v>1380.9273765300002</v>
      </c>
      <c r="AB13" s="3">
        <f>+AB5*0.26</f>
        <v>1683.3517201878003</v>
      </c>
      <c r="AC13" s="3">
        <f>+AC5*0.25</f>
        <v>2018.749952821875</v>
      </c>
      <c r="AD13" s="3">
        <f t="shared" ref="AD13:AE13" si="15">+AD5*0.25</f>
        <v>2470.263096456797</v>
      </c>
      <c r="AE13" s="3">
        <f t="shared" si="15"/>
        <v>2964.3157157481564</v>
      </c>
    </row>
    <row r="14" spans="1:34" x14ac:dyDescent="0.2">
      <c r="A14" s="1" t="s">
        <v>24</v>
      </c>
      <c r="B14" s="3">
        <v>40.578000000000003</v>
      </c>
      <c r="C14" s="3">
        <v>50.482999999999997</v>
      </c>
      <c r="D14" s="3">
        <v>57.539000000000001</v>
      </c>
      <c r="E14" s="3">
        <v>66.069999999999993</v>
      </c>
      <c r="F14" s="3">
        <v>78.180000000000007</v>
      </c>
      <c r="G14" s="3">
        <v>90.454999999999998</v>
      </c>
      <c r="H14" s="3">
        <v>97.63</v>
      </c>
      <c r="I14" s="3">
        <v>105.018</v>
      </c>
      <c r="J14" s="3">
        <v>123.399</v>
      </c>
      <c r="K14" s="3">
        <v>137.864</v>
      </c>
      <c r="L14" s="3">
        <v>155.256</v>
      </c>
      <c r="M14" s="3">
        <v>191.845</v>
      </c>
      <c r="N14" s="3">
        <v>179.065</v>
      </c>
      <c r="O14" s="3">
        <v>179.36199999999999</v>
      </c>
      <c r="P14" s="3">
        <v>196.072</v>
      </c>
      <c r="Q14" s="3">
        <v>213.99799999999999</v>
      </c>
      <c r="R14" s="3">
        <v>235.249</v>
      </c>
      <c r="U14" s="3">
        <v>130.18799999999999</v>
      </c>
      <c r="V14" s="3">
        <v>214.67</v>
      </c>
      <c r="W14" s="3">
        <v>371.28300000000002</v>
      </c>
      <c r="X14" s="3">
        <v>608.36400000000003</v>
      </c>
      <c r="Y14" s="3">
        <v>768.49699999999996</v>
      </c>
      <c r="Z14" s="3">
        <f>+Z5*0.2</f>
        <v>794.44430000000011</v>
      </c>
      <c r="AA14" s="3">
        <f>+AA5*0.18</f>
        <v>920.61825102</v>
      </c>
      <c r="AB14" s="3">
        <f>+AB5*0.17</f>
        <v>1100.6530478151001</v>
      </c>
      <c r="AC14" s="3">
        <f>+AC5*0.16</f>
        <v>1291.9999698060001</v>
      </c>
      <c r="AD14" s="3">
        <f>+AD5*0.15</f>
        <v>1482.1578578740782</v>
      </c>
      <c r="AE14" s="3">
        <f t="shared" ref="AE14" si="16">+AE5*0.15</f>
        <v>1778.5894294488937</v>
      </c>
    </row>
    <row r="15" spans="1:34" x14ac:dyDescent="0.2">
      <c r="A15" s="1" t="s">
        <v>25</v>
      </c>
      <c r="B15" s="3">
        <v>25.042999999999999</v>
      </c>
      <c r="C15" s="3">
        <v>28.960999999999999</v>
      </c>
      <c r="D15" s="3">
        <v>31.951000000000001</v>
      </c>
      <c r="E15" s="3">
        <v>35.481000000000002</v>
      </c>
      <c r="F15" s="3">
        <v>42.374000000000002</v>
      </c>
      <c r="G15" s="3">
        <v>50.344999999999999</v>
      </c>
      <c r="H15" s="3">
        <v>56.061</v>
      </c>
      <c r="I15" s="3">
        <v>74.311999999999998</v>
      </c>
      <c r="J15" s="3">
        <v>67.953999999999994</v>
      </c>
      <c r="K15" s="3">
        <v>80.263000000000005</v>
      </c>
      <c r="L15" s="3">
        <v>84.147999999999996</v>
      </c>
      <c r="M15" s="3">
        <v>84.978999999999999</v>
      </c>
      <c r="N15" s="3">
        <v>82.634</v>
      </c>
      <c r="O15" s="3">
        <v>101.804</v>
      </c>
      <c r="P15" s="3">
        <v>105.589</v>
      </c>
      <c r="Q15" s="3">
        <v>102.73699999999999</v>
      </c>
      <c r="R15" s="3">
        <v>103.73399999999999</v>
      </c>
      <c r="U15" s="3">
        <v>89.067999999999998</v>
      </c>
      <c r="V15" s="3">
        <v>121.43600000000001</v>
      </c>
      <c r="W15" s="3">
        <v>223.09200000000001</v>
      </c>
      <c r="X15" s="3">
        <v>317.34399999999999</v>
      </c>
      <c r="Y15" s="3">
        <v>392.76400000000001</v>
      </c>
      <c r="Z15" s="3">
        <f>+Z5*0.07</f>
        <v>278.05550500000004</v>
      </c>
      <c r="AA15" s="3">
        <f>+AA5*0.06</f>
        <v>306.87275033999998</v>
      </c>
      <c r="AB15" s="3">
        <f>+AB5*0.05</f>
        <v>323.72148465150008</v>
      </c>
      <c r="AC15" s="3">
        <f t="shared" ref="AC15:AE15" si="17">+AC5*0.05</f>
        <v>403.74999056437503</v>
      </c>
      <c r="AD15" s="3">
        <f t="shared" si="17"/>
        <v>494.05261929135941</v>
      </c>
      <c r="AE15" s="3">
        <f t="shared" si="17"/>
        <v>592.86314314963136</v>
      </c>
    </row>
    <row r="16" spans="1:34" x14ac:dyDescent="0.2">
      <c r="A16" s="1" t="s">
        <v>26</v>
      </c>
      <c r="B16" s="3">
        <f>+B13+B14+B15</f>
        <v>153.75900000000001</v>
      </c>
      <c r="C16" s="3">
        <f t="shared" ref="C16:R16" si="18">+C13+C14+C15</f>
        <v>174.57099999999997</v>
      </c>
      <c r="D16" s="3">
        <f t="shared" si="18"/>
        <v>195.09200000000001</v>
      </c>
      <c r="E16" s="3">
        <f t="shared" si="18"/>
        <v>214</v>
      </c>
      <c r="F16" s="3">
        <f t="shared" si="18"/>
        <v>255.685</v>
      </c>
      <c r="G16" s="3">
        <f t="shared" si="18"/>
        <v>294.66099999999994</v>
      </c>
      <c r="H16" s="3">
        <f t="shared" si="18"/>
        <v>318.65100000000001</v>
      </c>
      <c r="I16" s="3">
        <f t="shared" si="18"/>
        <v>341.92399999999998</v>
      </c>
      <c r="J16" s="3">
        <f t="shared" si="18"/>
        <v>384.88500000000005</v>
      </c>
      <c r="K16" s="3">
        <f t="shared" si="18"/>
        <v>442.89300000000003</v>
      </c>
      <c r="L16" s="3">
        <f t="shared" si="18"/>
        <v>479.07600000000002</v>
      </c>
      <c r="M16" s="3">
        <f t="shared" si="18"/>
        <v>523.26300000000003</v>
      </c>
      <c r="N16" s="3">
        <f t="shared" si="18"/>
        <v>542.80600000000004</v>
      </c>
      <c r="O16" s="3">
        <f t="shared" si="18"/>
        <v>564.08199999999999</v>
      </c>
      <c r="P16" s="3">
        <f t="shared" si="18"/>
        <v>587.84699999999998</v>
      </c>
      <c r="Q16" s="3">
        <f t="shared" si="18"/>
        <v>607.09199999999998</v>
      </c>
      <c r="R16" s="3">
        <f t="shared" si="18"/>
        <v>689.09699999999998</v>
      </c>
      <c r="U16" s="3">
        <f t="shared" ref="U16:AE16" si="19">+U13+U14+U15</f>
        <v>485.851</v>
      </c>
      <c r="V16" s="3">
        <f t="shared" si="19"/>
        <v>737.42200000000003</v>
      </c>
      <c r="W16" s="3">
        <f t="shared" si="19"/>
        <v>1210.921</v>
      </c>
      <c r="X16" s="3">
        <f t="shared" si="19"/>
        <v>1830.1170000000002</v>
      </c>
      <c r="Y16" s="3">
        <f t="shared" si="19"/>
        <v>2301.8270000000002</v>
      </c>
      <c r="Z16" s="3">
        <f t="shared" si="19"/>
        <v>2184.7218250000005</v>
      </c>
      <c r="AA16" s="3">
        <f t="shared" si="19"/>
        <v>2608.4183778900001</v>
      </c>
      <c r="AB16" s="3">
        <f t="shared" si="19"/>
        <v>3107.7262526544</v>
      </c>
      <c r="AC16" s="3">
        <f t="shared" si="19"/>
        <v>3714.49991319225</v>
      </c>
      <c r="AD16" s="3">
        <f t="shared" si="19"/>
        <v>4446.4735736222347</v>
      </c>
      <c r="AE16" s="3">
        <f t="shared" si="19"/>
        <v>5335.7682883466814</v>
      </c>
    </row>
    <row r="17" spans="1:89" x14ac:dyDescent="0.2">
      <c r="A17" s="2" t="s">
        <v>27</v>
      </c>
      <c r="B17" s="6">
        <f>+B12-B16</f>
        <v>-22.575999999999993</v>
      </c>
      <c r="C17" s="6">
        <f t="shared" ref="C17:R17" si="20">+C12-C16</f>
        <v>-29.990999999999985</v>
      </c>
      <c r="D17" s="6">
        <f t="shared" si="20"/>
        <v>-24.15900000000002</v>
      </c>
      <c r="E17" s="6">
        <f t="shared" si="20"/>
        <v>-15.802999999999969</v>
      </c>
      <c r="F17" s="6">
        <f t="shared" si="20"/>
        <v>-31.347000000000008</v>
      </c>
      <c r="G17" s="6">
        <f t="shared" si="20"/>
        <v>-47.402999999999935</v>
      </c>
      <c r="H17" s="6">
        <f t="shared" si="20"/>
        <v>-40.26400000000001</v>
      </c>
      <c r="I17" s="6">
        <f t="shared" si="20"/>
        <v>-23.533999999999992</v>
      </c>
      <c r="J17" s="6">
        <f t="shared" si="20"/>
        <v>-23.883000000000038</v>
      </c>
      <c r="K17" s="6">
        <f t="shared" si="20"/>
        <v>-48.307000000000016</v>
      </c>
      <c r="L17" s="6">
        <f t="shared" si="20"/>
        <v>-56.422000000000082</v>
      </c>
      <c r="M17" s="6">
        <f t="shared" si="20"/>
        <v>-61.5</v>
      </c>
      <c r="N17" s="6">
        <f t="shared" si="20"/>
        <v>-19.456000000000131</v>
      </c>
      <c r="O17" s="6">
        <f t="shared" si="20"/>
        <v>-15.373000000000047</v>
      </c>
      <c r="P17" s="6">
        <f t="shared" si="20"/>
        <v>3.1629999999998972</v>
      </c>
      <c r="Q17" s="6">
        <f t="shared" si="20"/>
        <v>29.671000000000049</v>
      </c>
      <c r="R17" s="6">
        <f t="shared" si="20"/>
        <v>6.9360000000000355</v>
      </c>
      <c r="U17" s="6">
        <f t="shared" ref="U17:AE17" si="21">+U12-U16</f>
        <v>-146.065</v>
      </c>
      <c r="V17" s="6">
        <f t="shared" si="21"/>
        <v>-92.528999999999996</v>
      </c>
      <c r="W17" s="6">
        <f t="shared" si="21"/>
        <v>-142.548</v>
      </c>
      <c r="X17" s="6">
        <f t="shared" si="21"/>
        <v>-190.11200000000031</v>
      </c>
      <c r="Y17" s="6">
        <f t="shared" si="21"/>
        <v>-1.9950000000003456</v>
      </c>
      <c r="Z17" s="6">
        <f t="shared" si="21"/>
        <v>880.63207499999953</v>
      </c>
      <c r="AA17" s="6">
        <f t="shared" si="21"/>
        <v>1434.5239571100001</v>
      </c>
      <c r="AB17" s="6">
        <f t="shared" si="21"/>
        <v>2102.2113056556009</v>
      </c>
      <c r="AC17" s="6">
        <f t="shared" si="21"/>
        <v>2868.3991791256508</v>
      </c>
      <c r="AD17" s="6">
        <f t="shared" si="21"/>
        <v>3676.3849603844428</v>
      </c>
      <c r="AE17" s="6">
        <f t="shared" si="21"/>
        <v>4441.0109375388793</v>
      </c>
    </row>
    <row r="18" spans="1:89" x14ac:dyDescent="0.2">
      <c r="A18" s="1" t="s">
        <v>28</v>
      </c>
      <c r="B18" s="3">
        <v>-0.14299999999999999</v>
      </c>
      <c r="C18" s="3">
        <v>-0.17399999999999999</v>
      </c>
      <c r="D18" s="3">
        <v>-0.193</v>
      </c>
      <c r="E18" s="3">
        <v>-1.0489999999999999</v>
      </c>
      <c r="F18" s="3">
        <v>-6.2030000000000003</v>
      </c>
      <c r="G18" s="3">
        <v>-6.2960000000000003</v>
      </c>
      <c r="H18" s="3">
        <v>-6.4029999999999996</v>
      </c>
      <c r="I18" s="3">
        <v>-6.3019999999999996</v>
      </c>
      <c r="J18" s="3">
        <f>-6.298+1.507</f>
        <v>-4.7910000000000004</v>
      </c>
      <c r="K18" s="3">
        <f>-6.335+7.727</f>
        <v>1.3920000000000003</v>
      </c>
      <c r="L18" s="3">
        <f>-6.334+16.245</f>
        <v>9.9110000000000014</v>
      </c>
      <c r="M18" s="3">
        <f>-6.352+27.016</f>
        <v>20.663999999999998</v>
      </c>
      <c r="N18" s="3">
        <f>-6.387+30.521</f>
        <v>24.134</v>
      </c>
      <c r="O18" s="3">
        <f>-6.444+36.638</f>
        <v>30.193999999999999</v>
      </c>
      <c r="P18" s="3">
        <f>-6.503+40.086</f>
        <v>33.582999999999998</v>
      </c>
      <c r="Q18" s="3">
        <f>-6.422+41.685</f>
        <v>35.263000000000005</v>
      </c>
      <c r="R18" s="3">
        <f>-6.511+45.85</f>
        <v>39.338999999999999</v>
      </c>
      <c r="U18" s="3">
        <v>-0.442</v>
      </c>
      <c r="V18" s="3">
        <v>-1.5589999999999999</v>
      </c>
      <c r="W18" s="3">
        <f>-25.231+3.788</f>
        <v>-21.443000000000001</v>
      </c>
      <c r="X18" s="3">
        <f>-25.319+52.495</f>
        <v>27.175999999999998</v>
      </c>
      <c r="Y18" s="3">
        <f>-25.756+148.93</f>
        <v>123.17400000000001</v>
      </c>
      <c r="Z18" s="3">
        <f>+Y18*1.03</f>
        <v>126.86922000000001</v>
      </c>
      <c r="AA18" s="3">
        <f t="shared" ref="AA18" si="22">+Z18*0.98</f>
        <v>124.33183560000001</v>
      </c>
      <c r="AB18" s="3">
        <f>+AA18*1.015</f>
        <v>126.196813134</v>
      </c>
      <c r="AC18" s="3">
        <f t="shared" ref="AC18:AE18" si="23">+AB18*1.015</f>
        <v>128.08976533100997</v>
      </c>
      <c r="AD18" s="3">
        <f t="shared" si="23"/>
        <v>130.01111181097511</v>
      </c>
      <c r="AE18" s="3">
        <f t="shared" si="23"/>
        <v>131.96127848813973</v>
      </c>
    </row>
    <row r="19" spans="1:89" x14ac:dyDescent="0.2">
      <c r="A19" s="1" t="s">
        <v>29</v>
      </c>
      <c r="B19" s="3">
        <v>4.5330000000000004</v>
      </c>
      <c r="C19" s="3">
        <v>0.73199999999999998</v>
      </c>
      <c r="D19" s="3">
        <v>0.27200000000000002</v>
      </c>
      <c r="E19" s="3">
        <v>0.68200000000000005</v>
      </c>
      <c r="F19" s="3">
        <v>4.7679999999999998</v>
      </c>
      <c r="G19" s="3">
        <v>0.61899999999999999</v>
      </c>
      <c r="H19" s="3">
        <v>0.69</v>
      </c>
      <c r="I19" s="3">
        <v>1.679</v>
      </c>
      <c r="J19" s="3">
        <v>1.7050000000000001</v>
      </c>
      <c r="K19" s="3">
        <v>3.38</v>
      </c>
      <c r="L19" s="3">
        <v>0.75</v>
      </c>
      <c r="M19" s="3">
        <v>-2.782</v>
      </c>
      <c r="N19" s="3">
        <v>0.23</v>
      </c>
      <c r="O19" s="3">
        <v>-1.734</v>
      </c>
      <c r="P19" s="3">
        <v>-0.47399999999999998</v>
      </c>
      <c r="Q19" s="3">
        <v>3.6160000000000001</v>
      </c>
      <c r="R19" s="3">
        <v>7.6559999999999997</v>
      </c>
      <c r="U19" s="3">
        <v>6.7249999999999996</v>
      </c>
      <c r="V19" s="3">
        <v>6.2190000000000003</v>
      </c>
      <c r="W19" s="3">
        <v>3.968</v>
      </c>
      <c r="X19" s="3">
        <v>3.0529999999999999</v>
      </c>
      <c r="Y19" s="3">
        <v>1.6379999999999999</v>
      </c>
      <c r="Z19" s="3"/>
      <c r="AA19" s="3"/>
      <c r="AB19" s="3"/>
      <c r="AC19" s="3"/>
      <c r="AD19" s="3"/>
      <c r="AE19" s="3"/>
    </row>
    <row r="20" spans="1:89" x14ac:dyDescent="0.2">
      <c r="A20" s="1" t="s">
        <v>30</v>
      </c>
      <c r="B20" s="3">
        <f>+B17+B18+B19</f>
        <v>-18.185999999999993</v>
      </c>
      <c r="C20" s="3">
        <f t="shared" ref="C20:R20" si="24">+C17+C18+C19</f>
        <v>-29.432999999999986</v>
      </c>
      <c r="D20" s="3">
        <f t="shared" si="24"/>
        <v>-24.080000000000023</v>
      </c>
      <c r="E20" s="3">
        <f t="shared" si="24"/>
        <v>-16.16999999999997</v>
      </c>
      <c r="F20" s="3">
        <f t="shared" si="24"/>
        <v>-32.782000000000011</v>
      </c>
      <c r="G20" s="3">
        <f t="shared" si="24"/>
        <v>-53.079999999999934</v>
      </c>
      <c r="H20" s="3">
        <f t="shared" si="24"/>
        <v>-45.977000000000011</v>
      </c>
      <c r="I20" s="3">
        <f t="shared" si="24"/>
        <v>-28.156999999999993</v>
      </c>
      <c r="J20" s="3">
        <f t="shared" si="24"/>
        <v>-26.969000000000037</v>
      </c>
      <c r="K20" s="3">
        <f t="shared" si="24"/>
        <v>-43.535000000000011</v>
      </c>
      <c r="L20" s="3">
        <f t="shared" si="24"/>
        <v>-45.761000000000081</v>
      </c>
      <c r="M20" s="3">
        <f t="shared" si="24"/>
        <v>-43.617999999999995</v>
      </c>
      <c r="N20" s="3">
        <f t="shared" si="24"/>
        <v>4.9079999999998698</v>
      </c>
      <c r="O20" s="3">
        <f t="shared" si="24"/>
        <v>13.086999999999952</v>
      </c>
      <c r="P20" s="3">
        <f t="shared" si="24"/>
        <v>36.271999999999899</v>
      </c>
      <c r="Q20" s="3">
        <f t="shared" si="24"/>
        <v>68.550000000000054</v>
      </c>
      <c r="R20" s="3">
        <f t="shared" si="24"/>
        <v>53.931000000000033</v>
      </c>
      <c r="U20" s="3">
        <f>+U17+U18+U19</f>
        <v>-139.78200000000001</v>
      </c>
      <c r="V20" s="3">
        <f t="shared" ref="V20:AE20" si="25">+V17+V18+V19</f>
        <v>-87.869</v>
      </c>
      <c r="W20" s="3">
        <f t="shared" si="25"/>
        <v>-160.02300000000002</v>
      </c>
      <c r="X20" s="3">
        <f t="shared" si="25"/>
        <v>-159.88300000000032</v>
      </c>
      <c r="Y20" s="3">
        <f t="shared" si="25"/>
        <v>122.81699999999967</v>
      </c>
      <c r="Z20" s="3">
        <f t="shared" si="25"/>
        <v>1007.5012949999996</v>
      </c>
      <c r="AA20" s="3">
        <f t="shared" si="25"/>
        <v>1558.8557927100001</v>
      </c>
      <c r="AB20" s="3">
        <f t="shared" si="25"/>
        <v>2228.4081187896008</v>
      </c>
      <c r="AC20" s="3">
        <f t="shared" si="25"/>
        <v>2996.4889444566606</v>
      </c>
      <c r="AD20" s="3">
        <f t="shared" si="25"/>
        <v>3806.3960721954181</v>
      </c>
      <c r="AE20" s="3">
        <f t="shared" si="25"/>
        <v>4572.9722160270194</v>
      </c>
    </row>
    <row r="21" spans="1:89" x14ac:dyDescent="0.2">
      <c r="A21" s="1" t="s">
        <v>31</v>
      </c>
      <c r="B21" s="3">
        <v>1.036</v>
      </c>
      <c r="C21" s="3">
        <v>0.441</v>
      </c>
      <c r="D21" s="3">
        <v>0.45100000000000001</v>
      </c>
      <c r="E21" s="3">
        <v>2.8319999999999999</v>
      </c>
      <c r="F21" s="3">
        <v>50.061999999999998</v>
      </c>
      <c r="G21" s="3">
        <v>4.2380000000000004</v>
      </c>
      <c r="H21" s="3">
        <v>4.4729999999999999</v>
      </c>
      <c r="I21" s="3">
        <v>13.582000000000001</v>
      </c>
      <c r="J21" s="3">
        <v>3.44</v>
      </c>
      <c r="K21" s="3">
        <v>4.7779999999999996</v>
      </c>
      <c r="L21" s="3">
        <v>8.8699999999999992</v>
      </c>
      <c r="M21" s="3">
        <v>5.3140000000000001</v>
      </c>
      <c r="N21" s="3">
        <v>4.4089999999999998</v>
      </c>
      <c r="O21" s="3">
        <v>4.6109999999999998</v>
      </c>
      <c r="P21" s="3">
        <v>9.6029999999999998</v>
      </c>
      <c r="Q21" s="3">
        <v>13.609</v>
      </c>
      <c r="R21" s="3">
        <v>7.6669999999999998</v>
      </c>
      <c r="U21" s="3">
        <v>1.9970000000000001</v>
      </c>
      <c r="V21" s="3">
        <v>4.76</v>
      </c>
      <c r="W21" s="3">
        <v>72.355000000000004</v>
      </c>
      <c r="X21" s="3">
        <v>22.402000000000001</v>
      </c>
      <c r="Y21" s="3">
        <v>32.231999999999999</v>
      </c>
      <c r="Z21" s="3">
        <f>+Z20*0.2</f>
        <v>201.50025899999991</v>
      </c>
      <c r="AA21" s="3">
        <f t="shared" ref="AA21:AE21" si="26">+AA20*0.2</f>
        <v>311.77115854200002</v>
      </c>
      <c r="AB21" s="3">
        <f t="shared" si="26"/>
        <v>445.68162375792019</v>
      </c>
      <c r="AC21" s="3">
        <f t="shared" si="26"/>
        <v>599.29778889133217</v>
      </c>
      <c r="AD21" s="3">
        <f t="shared" si="26"/>
        <v>761.27921443908372</v>
      </c>
      <c r="AE21" s="3">
        <f t="shared" si="26"/>
        <v>914.59444320540388</v>
      </c>
    </row>
    <row r="22" spans="1:89" x14ac:dyDescent="0.2">
      <c r="A22" s="1" t="s">
        <v>32</v>
      </c>
      <c r="B22" s="3">
        <f>+B20-B21</f>
        <v>-19.221999999999994</v>
      </c>
      <c r="C22" s="3">
        <f t="shared" ref="C22:R22" si="27">+C20-C21</f>
        <v>-29.873999999999985</v>
      </c>
      <c r="D22" s="3">
        <f t="shared" si="27"/>
        <v>-24.531000000000024</v>
      </c>
      <c r="E22" s="3">
        <f t="shared" si="27"/>
        <v>-19.00199999999997</v>
      </c>
      <c r="F22" s="3">
        <f t="shared" si="27"/>
        <v>-82.844000000000008</v>
      </c>
      <c r="G22" s="3">
        <f t="shared" si="27"/>
        <v>-57.317999999999934</v>
      </c>
      <c r="H22" s="3">
        <f t="shared" si="27"/>
        <v>-50.45000000000001</v>
      </c>
      <c r="I22" s="3">
        <f t="shared" si="27"/>
        <v>-41.73899999999999</v>
      </c>
      <c r="J22" s="3">
        <f t="shared" si="27"/>
        <v>-30.409000000000038</v>
      </c>
      <c r="K22" s="3">
        <f t="shared" si="27"/>
        <v>-48.313000000000009</v>
      </c>
      <c r="L22" s="3">
        <f t="shared" si="27"/>
        <v>-54.631000000000078</v>
      </c>
      <c r="M22" s="3">
        <f t="shared" si="27"/>
        <v>-48.931999999999995</v>
      </c>
      <c r="N22" s="3">
        <f t="shared" si="27"/>
        <v>0.49899999999986999</v>
      </c>
      <c r="O22" s="3">
        <f t="shared" si="27"/>
        <v>8.4759999999999529</v>
      </c>
      <c r="P22" s="3">
        <f t="shared" si="27"/>
        <v>26.668999999999897</v>
      </c>
      <c r="Q22" s="3">
        <f t="shared" si="27"/>
        <v>54.941000000000052</v>
      </c>
      <c r="R22" s="3">
        <f t="shared" si="27"/>
        <v>46.264000000000031</v>
      </c>
      <c r="U22" s="3">
        <f t="shared" ref="U22:AE22" si="28">+U20-U21</f>
        <v>-141.77900000000002</v>
      </c>
      <c r="V22" s="3">
        <f t="shared" si="28"/>
        <v>-92.629000000000005</v>
      </c>
      <c r="W22" s="3">
        <f t="shared" si="28"/>
        <v>-232.37800000000004</v>
      </c>
      <c r="X22" s="3">
        <f t="shared" si="28"/>
        <v>-182.28500000000031</v>
      </c>
      <c r="Y22" s="3">
        <f t="shared" si="28"/>
        <v>90.584999999999667</v>
      </c>
      <c r="Z22" s="3">
        <f t="shared" si="28"/>
        <v>806.00103599999966</v>
      </c>
      <c r="AA22" s="3">
        <f t="shared" si="28"/>
        <v>1247.0846341680001</v>
      </c>
      <c r="AB22" s="3">
        <f t="shared" si="28"/>
        <v>1782.7264950316808</v>
      </c>
      <c r="AC22" s="3">
        <f t="shared" si="28"/>
        <v>2397.1911555653287</v>
      </c>
      <c r="AD22" s="3">
        <f t="shared" si="28"/>
        <v>3045.1168577563344</v>
      </c>
      <c r="AE22" s="3">
        <f t="shared" si="28"/>
        <v>3658.3777728216155</v>
      </c>
    </row>
    <row r="23" spans="1:89" x14ac:dyDescent="0.2">
      <c r="A23" s="1" t="s">
        <v>47</v>
      </c>
      <c r="B23" s="3">
        <v>0</v>
      </c>
      <c r="C23" s="3">
        <v>0</v>
      </c>
      <c r="D23" s="3">
        <v>0</v>
      </c>
      <c r="E23" s="3">
        <v>0</v>
      </c>
      <c r="F23" s="3">
        <v>2.1779999999999999</v>
      </c>
      <c r="G23" s="3">
        <v>0</v>
      </c>
      <c r="H23" s="3">
        <v>5.0000000000000001E-3</v>
      </c>
      <c r="I23" s="3">
        <v>0.24099999999999999</v>
      </c>
      <c r="J23" s="3">
        <v>1.1140000000000001</v>
      </c>
      <c r="K23" s="3">
        <v>0.97199999999999998</v>
      </c>
      <c r="L23" s="3">
        <v>0.32500000000000001</v>
      </c>
      <c r="M23" s="3">
        <v>-1.4510000000000001</v>
      </c>
      <c r="N23" s="3">
        <v>0.499</v>
      </c>
      <c r="O23" s="3">
        <v>4.0000000000000001E-3</v>
      </c>
      <c r="P23" s="3">
        <v>4.0000000000000001E-3</v>
      </c>
      <c r="Q23" s="3">
        <v>1.242</v>
      </c>
      <c r="R23" s="3">
        <v>3.444</v>
      </c>
      <c r="U23" s="3">
        <v>0</v>
      </c>
      <c r="V23" s="3">
        <v>0</v>
      </c>
      <c r="W23" s="3">
        <v>2.4239999999999999</v>
      </c>
      <c r="X23" s="3">
        <v>0.96</v>
      </c>
      <c r="Y23" s="3">
        <v>1.258</v>
      </c>
      <c r="Z23" s="3"/>
      <c r="AA23" s="3"/>
      <c r="AB23" s="3"/>
      <c r="AC23" s="3"/>
      <c r="AD23" s="3"/>
      <c r="AE23" s="3"/>
    </row>
    <row r="24" spans="1:89" x14ac:dyDescent="0.2">
      <c r="A24" s="2" t="s">
        <v>48</v>
      </c>
      <c r="B24" s="6">
        <f t="shared" ref="B24:Q24" si="29">+B22-B23</f>
        <v>-19.221999999999994</v>
      </c>
      <c r="C24" s="6">
        <f t="shared" si="29"/>
        <v>-29.873999999999985</v>
      </c>
      <c r="D24" s="6">
        <f t="shared" si="29"/>
        <v>-24.531000000000024</v>
      </c>
      <c r="E24" s="6">
        <f t="shared" si="29"/>
        <v>-19.00199999999997</v>
      </c>
      <c r="F24" s="6">
        <f t="shared" si="29"/>
        <v>-85.022000000000006</v>
      </c>
      <c r="G24" s="6">
        <f t="shared" si="29"/>
        <v>-57.317999999999934</v>
      </c>
      <c r="H24" s="6">
        <f t="shared" si="29"/>
        <v>-50.455000000000013</v>
      </c>
      <c r="I24" s="6">
        <f t="shared" si="29"/>
        <v>-41.97999999999999</v>
      </c>
      <c r="J24" s="6">
        <f t="shared" si="29"/>
        <v>-31.523000000000039</v>
      </c>
      <c r="K24" s="6">
        <f t="shared" si="29"/>
        <v>-49.285000000000011</v>
      </c>
      <c r="L24" s="6">
        <f t="shared" si="29"/>
        <v>-54.956000000000081</v>
      </c>
      <c r="M24" s="6">
        <f t="shared" si="29"/>
        <v>-47.480999999999995</v>
      </c>
      <c r="N24" s="6">
        <f t="shared" si="29"/>
        <v>-1.3000711618360583E-13</v>
      </c>
      <c r="O24" s="6">
        <f t="shared" si="29"/>
        <v>8.4719999999999533</v>
      </c>
      <c r="P24" s="6">
        <f t="shared" si="29"/>
        <v>26.664999999999896</v>
      </c>
      <c r="Q24" s="6">
        <f t="shared" si="29"/>
        <v>53.699000000000055</v>
      </c>
      <c r="R24" s="6">
        <f>+R22-R23</f>
        <v>42.820000000000029</v>
      </c>
      <c r="U24" s="6">
        <f t="shared" ref="U24:AE24" si="30">+U22-U23</f>
        <v>-141.77900000000002</v>
      </c>
      <c r="V24" s="6">
        <f t="shared" si="30"/>
        <v>-92.629000000000005</v>
      </c>
      <c r="W24" s="6">
        <f t="shared" si="30"/>
        <v>-234.80200000000005</v>
      </c>
      <c r="X24" s="6">
        <f t="shared" si="30"/>
        <v>-183.24500000000032</v>
      </c>
      <c r="Y24" s="6">
        <f t="shared" si="30"/>
        <v>89.326999999999671</v>
      </c>
      <c r="Z24" s="6">
        <f t="shared" si="30"/>
        <v>806.00103599999966</v>
      </c>
      <c r="AA24" s="6">
        <f t="shared" si="30"/>
        <v>1247.0846341680001</v>
      </c>
      <c r="AB24" s="6">
        <f t="shared" si="30"/>
        <v>1782.7264950316808</v>
      </c>
      <c r="AC24" s="6">
        <f t="shared" si="30"/>
        <v>2397.1911555653287</v>
      </c>
      <c r="AD24" s="6">
        <f t="shared" si="30"/>
        <v>3045.1168577563344</v>
      </c>
      <c r="AE24" s="6">
        <f t="shared" si="30"/>
        <v>3658.3777728216155</v>
      </c>
      <c r="AF24" s="6">
        <f>+AE24*(1+$AH$3)</f>
        <v>3768.129106006264</v>
      </c>
      <c r="AG24" s="6">
        <f t="shared" ref="AG24:CK24" si="31">+AF24*(1+$AH$3)</f>
        <v>3881.1729791864518</v>
      </c>
      <c r="AH24" s="6">
        <f t="shared" si="31"/>
        <v>3997.6081685620456</v>
      </c>
      <c r="AI24" s="6">
        <f t="shared" si="31"/>
        <v>4117.5364136189073</v>
      </c>
      <c r="AJ24" s="6">
        <f t="shared" si="31"/>
        <v>4241.0625060274742</v>
      </c>
      <c r="AK24" s="6">
        <f t="shared" si="31"/>
        <v>4368.2943812082985</v>
      </c>
      <c r="AL24" s="6">
        <f t="shared" si="31"/>
        <v>4499.3432126445477</v>
      </c>
      <c r="AM24" s="6">
        <f t="shared" si="31"/>
        <v>4634.3235090238841</v>
      </c>
      <c r="AN24" s="6">
        <f t="shared" si="31"/>
        <v>4773.3532142946005</v>
      </c>
      <c r="AO24" s="6">
        <f t="shared" si="31"/>
        <v>4916.5538107234388</v>
      </c>
      <c r="AP24" s="6">
        <f t="shared" si="31"/>
        <v>5064.0504250451422</v>
      </c>
      <c r="AQ24" s="6">
        <f t="shared" si="31"/>
        <v>5215.9719377964966</v>
      </c>
      <c r="AR24" s="6">
        <f t="shared" si="31"/>
        <v>5372.4510959303916</v>
      </c>
      <c r="AS24" s="6">
        <f t="shared" si="31"/>
        <v>5533.6246288083039</v>
      </c>
      <c r="AT24" s="6">
        <f t="shared" si="31"/>
        <v>5699.6333676725535</v>
      </c>
      <c r="AU24" s="6">
        <f t="shared" si="31"/>
        <v>5870.6223687027305</v>
      </c>
      <c r="AV24" s="6">
        <f t="shared" si="31"/>
        <v>6046.7410397638123</v>
      </c>
      <c r="AW24" s="6">
        <f t="shared" si="31"/>
        <v>6228.1432709567271</v>
      </c>
      <c r="AX24" s="6">
        <f t="shared" si="31"/>
        <v>6414.9875690854287</v>
      </c>
      <c r="AY24" s="6">
        <f t="shared" si="31"/>
        <v>6607.4371961579918</v>
      </c>
      <c r="AZ24" s="6">
        <f t="shared" si="31"/>
        <v>6805.6603120427317</v>
      </c>
      <c r="BA24" s="6">
        <f t="shared" si="31"/>
        <v>7009.8301214040139</v>
      </c>
      <c r="BB24" s="6">
        <f t="shared" si="31"/>
        <v>7220.1250250461344</v>
      </c>
      <c r="BC24" s="6">
        <f t="shared" si="31"/>
        <v>7436.7287757975182</v>
      </c>
      <c r="BD24" s="6">
        <f t="shared" si="31"/>
        <v>7659.8306390714442</v>
      </c>
      <c r="BE24" s="6">
        <f t="shared" si="31"/>
        <v>7889.6255582435879</v>
      </c>
      <c r="BF24" s="6">
        <f t="shared" si="31"/>
        <v>8126.3143249908953</v>
      </c>
      <c r="BG24" s="6">
        <f t="shared" si="31"/>
        <v>8370.1037547406231</v>
      </c>
      <c r="BH24" s="6">
        <f t="shared" si="31"/>
        <v>8621.2068673828417</v>
      </c>
      <c r="BI24" s="6">
        <f t="shared" si="31"/>
        <v>8879.8430734043268</v>
      </c>
      <c r="BJ24" s="6">
        <f t="shared" si="31"/>
        <v>9146.2383656064576</v>
      </c>
      <c r="BK24" s="6">
        <f t="shared" si="31"/>
        <v>9420.6255165746516</v>
      </c>
      <c r="BL24" s="6">
        <f t="shared" si="31"/>
        <v>9703.2442820718916</v>
      </c>
      <c r="BM24" s="6">
        <f t="shared" si="31"/>
        <v>9994.3416105340493</v>
      </c>
      <c r="BN24" s="6">
        <f t="shared" si="31"/>
        <v>10294.171858850072</v>
      </c>
      <c r="BO24" s="6">
        <f t="shared" si="31"/>
        <v>10602.997014615574</v>
      </c>
      <c r="BP24" s="6">
        <f t="shared" si="31"/>
        <v>10921.086925054042</v>
      </c>
      <c r="BQ24" s="6">
        <f t="shared" si="31"/>
        <v>11248.719532805664</v>
      </c>
      <c r="BR24" s="6">
        <f t="shared" si="31"/>
        <v>11586.181118789835</v>
      </c>
      <c r="BS24" s="6">
        <f t="shared" si="31"/>
        <v>11933.766552353531</v>
      </c>
      <c r="BT24" s="6">
        <f t="shared" si="31"/>
        <v>12291.779548924136</v>
      </c>
      <c r="BU24" s="6">
        <f t="shared" si="31"/>
        <v>12660.532935391861</v>
      </c>
      <c r="BV24" s="6">
        <f t="shared" si="31"/>
        <v>13040.348923453617</v>
      </c>
      <c r="BW24" s="6">
        <f t="shared" si="31"/>
        <v>13431.559391157227</v>
      </c>
      <c r="BX24" s="6">
        <f t="shared" si="31"/>
        <v>13834.506172891945</v>
      </c>
      <c r="BY24" s="6">
        <f t="shared" si="31"/>
        <v>14249.541358078703</v>
      </c>
      <c r="BZ24" s="6">
        <f t="shared" si="31"/>
        <v>14677.027598821063</v>
      </c>
      <c r="CA24" s="6">
        <f t="shared" si="31"/>
        <v>15117.338426785696</v>
      </c>
      <c r="CB24" s="6">
        <f t="shared" si="31"/>
        <v>15570.858579589267</v>
      </c>
      <c r="CC24" s="6">
        <f t="shared" si="31"/>
        <v>16037.984336976946</v>
      </c>
      <c r="CD24" s="6">
        <f t="shared" si="31"/>
        <v>16519.123867086255</v>
      </c>
      <c r="CE24" s="6">
        <f t="shared" si="31"/>
        <v>17014.697583098841</v>
      </c>
      <c r="CF24" s="6">
        <f t="shared" si="31"/>
        <v>17525.138510591805</v>
      </c>
      <c r="CG24" s="6">
        <f t="shared" si="31"/>
        <v>18050.89266590956</v>
      </c>
      <c r="CH24" s="6">
        <f t="shared" si="31"/>
        <v>18592.419445886848</v>
      </c>
      <c r="CI24" s="6">
        <f t="shared" si="31"/>
        <v>19150.192029263453</v>
      </c>
      <c r="CJ24" s="6">
        <f t="shared" si="31"/>
        <v>19724.697790141356</v>
      </c>
      <c r="CK24" s="6">
        <f t="shared" si="31"/>
        <v>20316.438723845597</v>
      </c>
    </row>
    <row r="25" spans="1:89" x14ac:dyDescent="0.2">
      <c r="A25" s="1" t="s">
        <v>33</v>
      </c>
      <c r="B25" s="1">
        <v>213.12899999999999</v>
      </c>
      <c r="C25" s="1">
        <v>216.69499999999999</v>
      </c>
      <c r="D25" s="1">
        <v>219.40100000000001</v>
      </c>
      <c r="E25" s="1">
        <v>221.7</v>
      </c>
      <c r="F25" s="1">
        <v>224.15299999999999</v>
      </c>
      <c r="G25" s="1">
        <v>226.36199999999999</v>
      </c>
      <c r="H25" s="1">
        <v>228.29300000000001</v>
      </c>
      <c r="I25" s="1">
        <v>229.66200000000001</v>
      </c>
      <c r="J25" s="1">
        <v>231.179</v>
      </c>
      <c r="K25" s="1">
        <v>232.554</v>
      </c>
      <c r="L25" s="1">
        <v>233.785</v>
      </c>
      <c r="M25" s="1">
        <v>235.02699999999999</v>
      </c>
      <c r="N25" s="1">
        <v>240.59800000000001</v>
      </c>
      <c r="O25" s="1">
        <v>242.14400000000001</v>
      </c>
      <c r="P25" s="1">
        <v>243.79900000000001</v>
      </c>
      <c r="Q25" s="1">
        <v>247.93600000000001</v>
      </c>
      <c r="R25" s="1">
        <v>250.16399999999999</v>
      </c>
      <c r="U25" s="1">
        <v>148.06200000000001</v>
      </c>
      <c r="V25" s="1">
        <v>217.756</v>
      </c>
      <c r="W25" s="1">
        <v>227.142</v>
      </c>
      <c r="X25" s="1">
        <v>233.13900000000001</v>
      </c>
      <c r="Y25" s="1">
        <v>243.63499999999999</v>
      </c>
      <c r="Z25" s="1">
        <f>+Y25*1.03</f>
        <v>250.94405</v>
      </c>
      <c r="AA25" s="1">
        <f>+Z25*1.02</f>
        <v>255.962931</v>
      </c>
      <c r="AB25" s="1">
        <f>+AA25*1.01</f>
        <v>258.52256031000002</v>
      </c>
      <c r="AC25" s="1">
        <f t="shared" ref="AC25:AE25" si="32">+AB25*1.01</f>
        <v>261.10778591310003</v>
      </c>
      <c r="AD25" s="1">
        <f t="shared" si="32"/>
        <v>263.71886377223103</v>
      </c>
      <c r="AE25" s="1">
        <f t="shared" si="32"/>
        <v>266.35605240995335</v>
      </c>
    </row>
    <row r="26" spans="1:89" x14ac:dyDescent="0.2">
      <c r="A26" s="1" t="s">
        <v>34</v>
      </c>
      <c r="B26" s="5">
        <f t="shared" ref="B26:Q26" si="33">+B24/B25</f>
        <v>-9.0189509639701751E-2</v>
      </c>
      <c r="C26" s="5">
        <f t="shared" si="33"/>
        <v>-0.13786197189598276</v>
      </c>
      <c r="D26" s="5">
        <f t="shared" si="33"/>
        <v>-0.11180897078864738</v>
      </c>
      <c r="E26" s="5">
        <f t="shared" si="33"/>
        <v>-8.5710419485791486E-2</v>
      </c>
      <c r="F26" s="5">
        <f t="shared" si="33"/>
        <v>-0.37930342221607566</v>
      </c>
      <c r="G26" s="5">
        <f t="shared" si="33"/>
        <v>-0.2532138786545442</v>
      </c>
      <c r="H26" s="5">
        <f t="shared" si="33"/>
        <v>-0.22100984261453488</v>
      </c>
      <c r="I26" s="5">
        <f t="shared" si="33"/>
        <v>-0.18279036148775152</v>
      </c>
      <c r="J26" s="5">
        <f t="shared" si="33"/>
        <v>-0.13635754112614051</v>
      </c>
      <c r="K26" s="5">
        <f t="shared" si="33"/>
        <v>-0.21192927234104772</v>
      </c>
      <c r="L26" s="5">
        <f t="shared" si="33"/>
        <v>-0.23507068460337524</v>
      </c>
      <c r="M26" s="5">
        <f t="shared" si="33"/>
        <v>-0.20202359728882213</v>
      </c>
      <c r="N26" s="5">
        <f t="shared" si="33"/>
        <v>-5.4034994548419277E-16</v>
      </c>
      <c r="O26" s="5">
        <f t="shared" si="33"/>
        <v>3.4987445486982759E-2</v>
      </c>
      <c r="P26" s="5">
        <f t="shared" si="33"/>
        <v>0.10937288504054526</v>
      </c>
      <c r="Q26" s="5">
        <f t="shared" si="33"/>
        <v>0.21658411848218917</v>
      </c>
      <c r="R26" s="5">
        <f>+R24/R25</f>
        <v>0.17116771397962949</v>
      </c>
      <c r="U26" s="5">
        <f t="shared" ref="U26:AE26" si="34">+U24/U25</f>
        <v>-0.95756507409058378</v>
      </c>
      <c r="V26" s="5">
        <f t="shared" si="34"/>
        <v>-0.42537978287624684</v>
      </c>
      <c r="W26" s="5">
        <f t="shared" si="34"/>
        <v>-1.0337233976983564</v>
      </c>
      <c r="X26" s="5">
        <f t="shared" si="34"/>
        <v>-0.78599033194789503</v>
      </c>
      <c r="Y26" s="5">
        <f t="shared" si="34"/>
        <v>0.3666427237465868</v>
      </c>
      <c r="Z26" s="5">
        <f t="shared" si="34"/>
        <v>3.2118754598883683</v>
      </c>
      <c r="AA26" s="5">
        <f t="shared" si="34"/>
        <v>4.8721298404259956</v>
      </c>
      <c r="AB26" s="5">
        <f t="shared" si="34"/>
        <v>6.8958256211526558</v>
      </c>
      <c r="AC26" s="5">
        <f t="shared" si="34"/>
        <v>9.1808490014278785</v>
      </c>
      <c r="AD26" s="5">
        <f t="shared" si="34"/>
        <v>11.546829886186465</v>
      </c>
      <c r="AE26" s="5">
        <f t="shared" si="34"/>
        <v>13.734915124777945</v>
      </c>
    </row>
    <row r="28" spans="1:89" x14ac:dyDescent="0.2">
      <c r="A28" s="1" t="s">
        <v>49</v>
      </c>
      <c r="F28" s="4">
        <f t="shared" ref="F28:Q29" si="35">+F2/B2-1</f>
        <v>0.73359963506799319</v>
      </c>
      <c r="G28" s="4">
        <f t="shared" si="35"/>
        <v>0.71411514414727351</v>
      </c>
      <c r="H28" s="4">
        <f t="shared" si="35"/>
        <v>0.67203671615229688</v>
      </c>
      <c r="I28" s="4">
        <f t="shared" si="35"/>
        <v>0.65715558607384872</v>
      </c>
      <c r="J28" s="4">
        <f t="shared" si="35"/>
        <v>0.63505056395522486</v>
      </c>
      <c r="K28" s="4">
        <f t="shared" si="35"/>
        <v>0.60272736483491429</v>
      </c>
      <c r="L28" s="4">
        <f t="shared" si="35"/>
        <v>0.53313727137775535</v>
      </c>
      <c r="M28" s="4">
        <f t="shared" si="35"/>
        <v>0.47557856468110216</v>
      </c>
      <c r="N28" s="4">
        <f t="shared" si="35"/>
        <v>0.41614581294500907</v>
      </c>
      <c r="O28" s="4">
        <f t="shared" si="35"/>
        <v>0.36304496848077528</v>
      </c>
      <c r="P28" s="4">
        <f t="shared" si="35"/>
        <v>0.33996192745023524</v>
      </c>
      <c r="Q28" s="4">
        <f t="shared" si="35"/>
        <v>0.3304299279748204</v>
      </c>
      <c r="R28" s="4">
        <f>+R2/N2-1</f>
        <v>0.33938188658962654</v>
      </c>
      <c r="V28" s="4">
        <f t="shared" ref="V28:X29" si="36">+V2/U2-1</f>
        <v>0.84420715845829819</v>
      </c>
      <c r="W28" s="4">
        <f t="shared" si="36"/>
        <v>0.6895584525333367</v>
      </c>
      <c r="X28" s="4">
        <f t="shared" si="36"/>
        <v>0.55321995649989653</v>
      </c>
      <c r="Y28" s="4">
        <f>+Y2/X2-1</f>
        <v>0.35938408645331155</v>
      </c>
      <c r="Z28" s="4">
        <f t="shared" ref="Z28:AE28" si="37">+Z2/Y2-1</f>
        <v>0.30000000000000004</v>
      </c>
      <c r="AA28" s="4">
        <f t="shared" si="37"/>
        <v>0.29000000000000004</v>
      </c>
      <c r="AB28" s="4">
        <f t="shared" si="37"/>
        <v>0.27</v>
      </c>
      <c r="AC28" s="4">
        <f t="shared" si="37"/>
        <v>0.25</v>
      </c>
      <c r="AD28" s="4">
        <f t="shared" si="37"/>
        <v>0.22500000000000009</v>
      </c>
      <c r="AE28" s="4">
        <f t="shared" si="37"/>
        <v>0.19999999999999996</v>
      </c>
    </row>
    <row r="29" spans="1:89" x14ac:dyDescent="0.2">
      <c r="A29" s="1" t="s">
        <v>50</v>
      </c>
      <c r="F29" s="4">
        <f t="shared" si="35"/>
        <v>0.36320635721493422</v>
      </c>
      <c r="G29" s="4">
        <f t="shared" si="35"/>
        <v>0.48515120625212371</v>
      </c>
      <c r="H29" s="4">
        <f t="shared" si="35"/>
        <v>0.2161119915478078</v>
      </c>
      <c r="I29" s="4">
        <f t="shared" si="35"/>
        <v>0.26150885676222435</v>
      </c>
      <c r="J29" s="4">
        <f t="shared" si="35"/>
        <v>0.29595188526486238</v>
      </c>
      <c r="K29" s="4">
        <f t="shared" si="35"/>
        <v>0.32488331655532177</v>
      </c>
      <c r="L29" s="4">
        <f t="shared" si="35"/>
        <v>0.45545371617219055</v>
      </c>
      <c r="M29" s="4">
        <f t="shared" si="35"/>
        <v>0.5294715844643485</v>
      </c>
      <c r="N29" s="4">
        <f t="shared" si="35"/>
        <v>0.47811652149078965</v>
      </c>
      <c r="O29" s="4">
        <f t="shared" si="35"/>
        <v>0.43862678731781446</v>
      </c>
      <c r="P29" s="4">
        <f t="shared" si="35"/>
        <v>0.5684056586879962</v>
      </c>
      <c r="Q29" s="4">
        <f t="shared" si="35"/>
        <v>0.26299099836333872</v>
      </c>
      <c r="R29" s="4">
        <f t="shared" ref="R29" si="38">+R3/N3-1</f>
        <v>0.18014732520227006</v>
      </c>
      <c r="V29" s="4">
        <f t="shared" si="36"/>
        <v>0.54730538922155669</v>
      </c>
      <c r="W29" s="4">
        <f t="shared" si="36"/>
        <v>0.31947311088177965</v>
      </c>
      <c r="X29" s="4">
        <f t="shared" si="36"/>
        <v>0.40756270571493736</v>
      </c>
      <c r="Y29" s="4">
        <f t="shared" ref="Y29:AE29" si="39">+Y3/X3-1</f>
        <v>0.42771809594369326</v>
      </c>
      <c r="Z29" s="4">
        <f t="shared" si="39"/>
        <v>0.30000000000000004</v>
      </c>
      <c r="AA29" s="4">
        <f t="shared" si="39"/>
        <v>0.25</v>
      </c>
      <c r="AB29" s="4">
        <f t="shared" si="39"/>
        <v>0.19999999999999996</v>
      </c>
      <c r="AC29" s="4">
        <f t="shared" si="39"/>
        <v>0.19999999999999996</v>
      </c>
      <c r="AD29" s="4">
        <f t="shared" si="39"/>
        <v>0.19999999999999996</v>
      </c>
      <c r="AE29" s="4">
        <f t="shared" si="39"/>
        <v>0.19999999999999996</v>
      </c>
    </row>
    <row r="30" spans="1:89" x14ac:dyDescent="0.2">
      <c r="A30" s="1" t="s">
        <v>51</v>
      </c>
      <c r="F30" s="4">
        <f t="shared" ref="F30:Q30" si="40">+F12/B12-1</f>
        <v>0.71011487768994419</v>
      </c>
      <c r="G30" s="4">
        <f t="shared" si="40"/>
        <v>0.71018121455249705</v>
      </c>
      <c r="H30" s="4">
        <f t="shared" si="40"/>
        <v>0.62863227112377373</v>
      </c>
      <c r="I30" s="4">
        <f t="shared" si="40"/>
        <v>0.60643198433881418</v>
      </c>
      <c r="J30" s="4">
        <f t="shared" si="40"/>
        <v>0.60918792179657499</v>
      </c>
      <c r="K30" s="4">
        <f t="shared" si="40"/>
        <v>0.59584725266725447</v>
      </c>
      <c r="L30" s="4">
        <f t="shared" si="40"/>
        <v>0.51822462974204941</v>
      </c>
      <c r="M30" s="4">
        <f t="shared" si="40"/>
        <v>0.45030622821068511</v>
      </c>
      <c r="N30" s="4">
        <f t="shared" si="40"/>
        <v>0.44971496002792199</v>
      </c>
      <c r="O30" s="4">
        <f t="shared" si="40"/>
        <v>0.39059419239405324</v>
      </c>
      <c r="P30" s="4">
        <f t="shared" si="40"/>
        <v>0.3983305493382292</v>
      </c>
      <c r="Q30" s="4">
        <f t="shared" si="40"/>
        <v>0.37898229178171494</v>
      </c>
      <c r="R30" s="4">
        <f>+R12/N12-1</f>
        <v>0.32995700773860737</v>
      </c>
      <c r="V30" s="4">
        <f t="shared" ref="V30:X30" si="41">+V5/U5-1</f>
        <v>0.81639880933834341</v>
      </c>
      <c r="W30" s="4">
        <f t="shared" si="41"/>
        <v>0.6600307854873646</v>
      </c>
      <c r="X30" s="4">
        <f t="shared" si="41"/>
        <v>0.5439826838633941</v>
      </c>
      <c r="Y30" s="4">
        <f>+Y5/X5-1</f>
        <v>0.3633347849133246</v>
      </c>
      <c r="Z30" s="4">
        <f t="shared" ref="Z30:AE30" si="42">+Z5/Y5-1</f>
        <v>0.30000000000000004</v>
      </c>
      <c r="AA30" s="4">
        <f t="shared" si="42"/>
        <v>0.28757820755967423</v>
      </c>
      <c r="AB30" s="4">
        <f t="shared" si="42"/>
        <v>0.26588555403306069</v>
      </c>
      <c r="AC30" s="4">
        <f t="shared" si="42"/>
        <v>0.24721407045018662</v>
      </c>
      <c r="AD30" s="4">
        <f t="shared" si="42"/>
        <v>0.22365976677982435</v>
      </c>
      <c r="AE30" s="4">
        <f t="shared" si="42"/>
        <v>0.19999999999999996</v>
      </c>
    </row>
    <row r="32" spans="1:89" x14ac:dyDescent="0.2">
      <c r="A32" s="1" t="s">
        <v>55</v>
      </c>
      <c r="B32" s="4">
        <f t="shared" ref="B32:Q32" si="43">+(B2-B7)/B2</f>
        <v>0.77041338412792348</v>
      </c>
      <c r="C32" s="4">
        <f t="shared" si="43"/>
        <v>0.76100099861062864</v>
      </c>
      <c r="D32" s="4">
        <f t="shared" si="43"/>
        <v>0.76779375263429028</v>
      </c>
      <c r="E32" s="4">
        <f t="shared" si="43"/>
        <v>0.77786497290139056</v>
      </c>
      <c r="F32" s="4">
        <f t="shared" si="43"/>
        <v>0.76921572531895821</v>
      </c>
      <c r="G32" s="4">
        <f t="shared" si="43"/>
        <v>0.75939094973340593</v>
      </c>
      <c r="H32" s="4">
        <f t="shared" si="43"/>
        <v>0.76062515754978577</v>
      </c>
      <c r="I32" s="4">
        <f t="shared" si="43"/>
        <v>0.76434665292038584</v>
      </c>
      <c r="J32" s="4">
        <f t="shared" si="43"/>
        <v>0.76525264123943615</v>
      </c>
      <c r="K32" s="4">
        <f t="shared" si="43"/>
        <v>0.76276721210433052</v>
      </c>
      <c r="L32" s="4">
        <f t="shared" si="43"/>
        <v>0.75477733769840105</v>
      </c>
      <c r="M32" s="4">
        <f t="shared" si="43"/>
        <v>0.75023359291816483</v>
      </c>
      <c r="N32" s="4">
        <f t="shared" si="43"/>
        <v>0.78177909164203163</v>
      </c>
      <c r="O32" s="4">
        <f t="shared" si="43"/>
        <v>0.77780837483260179</v>
      </c>
      <c r="P32" s="4">
        <f t="shared" si="43"/>
        <v>0.78208853070979711</v>
      </c>
      <c r="Q32" s="4">
        <f t="shared" si="43"/>
        <v>0.77949662477526771</v>
      </c>
      <c r="R32" s="4">
        <f>+(R2-R7)/R2</f>
        <v>0.78254633260411932</v>
      </c>
      <c r="U32" s="4">
        <f>+(U2-U7)/U2</f>
        <v>0.74222307785745878</v>
      </c>
      <c r="V32" s="4">
        <f t="shared" ref="V32:Y32" si="44">+(V2-V7)/V2</f>
        <v>0.76982862539923202</v>
      </c>
      <c r="W32" s="4">
        <f t="shared" si="44"/>
        <v>0.76322527448682898</v>
      </c>
      <c r="X32" s="4">
        <f t="shared" si="44"/>
        <v>0.75768636996486172</v>
      </c>
      <c r="Y32" s="4">
        <f t="shared" si="44"/>
        <v>0.78027086729160933</v>
      </c>
      <c r="Z32" s="4">
        <f t="shared" ref="Z32:AE32" si="45">+(Z2-Z7)/Z2</f>
        <v>0.79717310826917787</v>
      </c>
      <c r="AA32" s="4">
        <f t="shared" si="45"/>
        <v>0.8144684246183177</v>
      </c>
      <c r="AB32" s="4">
        <f t="shared" si="45"/>
        <v>0.82761633153512981</v>
      </c>
      <c r="AC32" s="4">
        <f t="shared" si="45"/>
        <v>0.83726981696916258</v>
      </c>
      <c r="AD32" s="4">
        <f t="shared" si="45"/>
        <v>0.84324766042743826</v>
      </c>
      <c r="AE32" s="4">
        <f t="shared" si="45"/>
        <v>0.84586019942031421</v>
      </c>
    </row>
    <row r="33" spans="1:31" x14ac:dyDescent="0.2">
      <c r="A33" s="1" t="s">
        <v>54</v>
      </c>
      <c r="B33" s="4">
        <f t="shared" ref="B33:Q33" si="46">+(B3-B8)/B3</f>
        <v>0.39133451059535823</v>
      </c>
      <c r="C33" s="4">
        <f t="shared" si="46"/>
        <v>0.29636425416241935</v>
      </c>
      <c r="D33" s="4">
        <f t="shared" si="46"/>
        <v>0.36904384574749072</v>
      </c>
      <c r="E33" s="4">
        <f t="shared" si="46"/>
        <v>0.38895741846351206</v>
      </c>
      <c r="F33" s="4">
        <f t="shared" si="46"/>
        <v>0.37071478140180425</v>
      </c>
      <c r="G33" s="4">
        <f t="shared" si="46"/>
        <v>0.33929715383911407</v>
      </c>
      <c r="H33" s="4">
        <f t="shared" si="46"/>
        <v>0.2962946874592764</v>
      </c>
      <c r="I33" s="4">
        <f t="shared" si="46"/>
        <v>0.33210779520475614</v>
      </c>
      <c r="J33" s="4">
        <f t="shared" si="46"/>
        <v>0.32564615164929317</v>
      </c>
      <c r="K33" s="4">
        <f t="shared" si="46"/>
        <v>0.29267113352213858</v>
      </c>
      <c r="L33" s="4">
        <f t="shared" si="46"/>
        <v>0.28374022563123025</v>
      </c>
      <c r="M33" s="4">
        <f t="shared" si="46"/>
        <v>0.33055441898526999</v>
      </c>
      <c r="N33" s="4">
        <f t="shared" si="46"/>
        <v>0.34476512498490525</v>
      </c>
      <c r="O33" s="4">
        <f t="shared" si="46"/>
        <v>0.28911989244730402</v>
      </c>
      <c r="P33" s="4">
        <f t="shared" si="46"/>
        <v>0.33066925462883678</v>
      </c>
      <c r="Q33" s="4">
        <f t="shared" si="46"/>
        <v>0.33054588159066972</v>
      </c>
      <c r="R33" s="4">
        <f>+(R3-R8)/R3</f>
        <v>0.27664538310412579</v>
      </c>
      <c r="U33" s="4">
        <f>+(U3-U8)/U3</f>
        <v>0.35344865823907745</v>
      </c>
      <c r="V33" s="4">
        <f t="shared" ref="V33:Y33" si="47">+(V3-V8)/V3</f>
        <v>0.36456541680999888</v>
      </c>
      <c r="W33" s="4">
        <f t="shared" si="47"/>
        <v>0.33392354736739194</v>
      </c>
      <c r="X33" s="4">
        <f t="shared" si="47"/>
        <v>0.30892294869420261</v>
      </c>
      <c r="Y33" s="4">
        <f t="shared" si="47"/>
        <v>0.32443593984799834</v>
      </c>
      <c r="Z33" s="4">
        <f t="shared" ref="Z33:AE33" si="48">+(Z3-Z8)/Z3</f>
        <v>0.37640240601353703</v>
      </c>
      <c r="AA33" s="4">
        <f t="shared" si="48"/>
        <v>0.40633509052488731</v>
      </c>
      <c r="AB33" s="4">
        <f t="shared" si="48"/>
        <v>0.41622950568280587</v>
      </c>
      <c r="AC33" s="4">
        <f t="shared" si="48"/>
        <v>0.42595901392142582</v>
      </c>
      <c r="AD33" s="4">
        <f t="shared" si="48"/>
        <v>0.44031003857339018</v>
      </c>
      <c r="AE33" s="4">
        <f t="shared" si="48"/>
        <v>0.44031003857339024</v>
      </c>
    </row>
    <row r="34" spans="1:31" x14ac:dyDescent="0.2">
      <c r="A34" s="1" t="s">
        <v>52</v>
      </c>
      <c r="B34" s="4">
        <f t="shared" ref="B34:Q34" si="49">+B17/B5</f>
        <v>-0.12677590718673837</v>
      </c>
      <c r="C34" s="4">
        <f t="shared" si="49"/>
        <v>-0.15073050846605779</v>
      </c>
      <c r="D34" s="4">
        <f t="shared" si="49"/>
        <v>-0.10392755742923522</v>
      </c>
      <c r="E34" s="4">
        <f t="shared" si="49"/>
        <v>-5.9649943947246119E-2</v>
      </c>
      <c r="F34" s="4">
        <f t="shared" si="49"/>
        <v>-0.10350907896170625</v>
      </c>
      <c r="G34" s="4">
        <f t="shared" si="49"/>
        <v>-0.14037430779709181</v>
      </c>
      <c r="H34" s="4">
        <f t="shared" si="49"/>
        <v>-0.10594367598032899</v>
      </c>
      <c r="I34" s="4">
        <f t="shared" si="49"/>
        <v>-5.4601981392543075E-2</v>
      </c>
      <c r="J34" s="4">
        <f t="shared" si="49"/>
        <v>-4.8957227253533041E-2</v>
      </c>
      <c r="K34" s="4">
        <f t="shared" si="49"/>
        <v>-9.0267643085248539E-2</v>
      </c>
      <c r="L34" s="4">
        <f t="shared" si="49"/>
        <v>-9.7131603320467996E-2</v>
      </c>
      <c r="M34" s="4">
        <f t="shared" si="49"/>
        <v>-9.6490718848010637E-2</v>
      </c>
      <c r="N34" s="4">
        <f t="shared" si="49"/>
        <v>-2.8092061566894991E-2</v>
      </c>
      <c r="O34" s="4">
        <f t="shared" si="49"/>
        <v>-2.1012101811581391E-2</v>
      </c>
      <c r="P34" s="4">
        <f t="shared" si="49"/>
        <v>4.0241013518841871E-3</v>
      </c>
      <c r="Q34" s="4">
        <f t="shared" si="49"/>
        <v>3.5099694204072995E-2</v>
      </c>
      <c r="R34" s="4">
        <f>+R17/R5</f>
        <v>7.5306502677420159E-3</v>
      </c>
      <c r="U34" s="4">
        <f>+U17/U5</f>
        <v>-0.30340892331532382</v>
      </c>
      <c r="V34" s="4">
        <f t="shared" ref="V34:Y34" si="50">+V17/V5</f>
        <v>-0.10581539228624556</v>
      </c>
      <c r="W34" s="4">
        <f t="shared" si="50"/>
        <v>-9.8201012128735721E-2</v>
      </c>
      <c r="X34" s="4">
        <f t="shared" si="50"/>
        <v>-8.4824623555930886E-2</v>
      </c>
      <c r="Y34" s="4">
        <f t="shared" si="50"/>
        <v>-6.5290920961996941E-4</v>
      </c>
      <c r="Z34" s="4">
        <f t="shared" ref="Z34:AE34" si="51">+Z17/Z5</f>
        <v>0.22169762562334439</v>
      </c>
      <c r="AA34" s="4">
        <f t="shared" si="51"/>
        <v>0.28047924532640012</v>
      </c>
      <c r="AB34" s="4">
        <f t="shared" si="51"/>
        <v>0.32469443724421332</v>
      </c>
      <c r="AC34" s="4">
        <f t="shared" si="51"/>
        <v>0.35521972088669379</v>
      </c>
      <c r="AD34" s="4">
        <f t="shared" si="51"/>
        <v>0.3720641098571279</v>
      </c>
      <c r="AE34" s="4">
        <f t="shared" si="51"/>
        <v>0.37453930041473527</v>
      </c>
    </row>
    <row r="35" spans="1:31" x14ac:dyDescent="0.2">
      <c r="A35" s="1" t="s">
        <v>53</v>
      </c>
      <c r="B35" s="4">
        <f t="shared" ref="B35:Q35" si="52">+B24/B5</f>
        <v>-0.10794146385291835</v>
      </c>
      <c r="C35" s="4">
        <f t="shared" si="52"/>
        <v>-0.15014248307542297</v>
      </c>
      <c r="D35" s="4">
        <f t="shared" si="52"/>
        <v>-0.10552783274541866</v>
      </c>
      <c r="E35" s="4">
        <f t="shared" si="52"/>
        <v>-7.1724877231258061E-2</v>
      </c>
      <c r="F35" s="4">
        <f t="shared" si="52"/>
        <v>-0.28074612918244768</v>
      </c>
      <c r="G35" s="4">
        <f t="shared" si="52"/>
        <v>-0.16973555627942769</v>
      </c>
      <c r="H35" s="4">
        <f t="shared" si="52"/>
        <v>-0.13275849820155719</v>
      </c>
      <c r="I35" s="4">
        <f t="shared" si="52"/>
        <v>-9.7399132270712951E-2</v>
      </c>
      <c r="J35" s="4">
        <f t="shared" si="52"/>
        <v>-6.4618292287950491E-2</v>
      </c>
      <c r="K35" s="4">
        <f t="shared" si="52"/>
        <v>-9.2095157833367303E-2</v>
      </c>
      <c r="L35" s="4">
        <f t="shared" si="52"/>
        <v>-9.4607854951608214E-2</v>
      </c>
      <c r="M35" s="4">
        <f t="shared" si="52"/>
        <v>-7.4495541814998248E-2</v>
      </c>
      <c r="N35" s="4">
        <f t="shared" si="52"/>
        <v>-1.8771422244882302E-16</v>
      </c>
      <c r="O35" s="4">
        <f t="shared" si="52"/>
        <v>1.1579686889202891E-2</v>
      </c>
      <c r="P35" s="4">
        <f t="shared" si="52"/>
        <v>3.3924332136577584E-2</v>
      </c>
      <c r="Q35" s="4">
        <f t="shared" si="52"/>
        <v>6.3523928383422024E-2</v>
      </c>
      <c r="R35" s="4">
        <f>+R24/R5</f>
        <v>4.6491125211175273E-2</v>
      </c>
      <c r="U35" s="4">
        <f>+U24/U5</f>
        <v>-0.29450596473298402</v>
      </c>
      <c r="V35" s="4">
        <f t="shared" ref="V35:Y35" si="53">+V24/V5</f>
        <v>-0.10592975145178961</v>
      </c>
      <c r="W35" s="4">
        <f t="shared" si="53"/>
        <v>-0.16175459529317429</v>
      </c>
      <c r="X35" s="4">
        <f t="shared" si="53"/>
        <v>-8.1760689191142891E-2</v>
      </c>
      <c r="Y35" s="4">
        <f t="shared" si="53"/>
        <v>2.9234296224417391E-2</v>
      </c>
      <c r="Z35" s="4">
        <f t="shared" ref="Z35:AE35" si="54">+Z24/Z5</f>
        <v>0.20290938861289573</v>
      </c>
      <c r="AA35" s="4">
        <f t="shared" si="54"/>
        <v>0.24383096240111732</v>
      </c>
      <c r="AB35" s="4">
        <f t="shared" si="54"/>
        <v>0.27534880747116025</v>
      </c>
      <c r="AC35" s="4">
        <f t="shared" si="54"/>
        <v>0.29686578471673225</v>
      </c>
      <c r="AD35" s="4">
        <f t="shared" si="54"/>
        <v>0.30817738221123842</v>
      </c>
      <c r="AE35" s="4">
        <f t="shared" si="54"/>
        <v>0.30853476178213751</v>
      </c>
    </row>
    <row r="37" spans="1:31" x14ac:dyDescent="0.2">
      <c r="A37" s="1" t="s">
        <v>56</v>
      </c>
      <c r="B37" s="3">
        <v>98.576999999999998</v>
      </c>
      <c r="C37" s="3">
        <f>153.602-B37</f>
        <v>55.025000000000006</v>
      </c>
      <c r="D37" s="3">
        <f>242.103-C37-B37</f>
        <v>88.501000000000005</v>
      </c>
      <c r="E37" s="3">
        <f>356.566-D37-C37-B37</f>
        <v>114.46299999999994</v>
      </c>
      <c r="F37" s="3">
        <v>147.53299999999999</v>
      </c>
      <c r="G37" s="3">
        <f>256.008-F37</f>
        <v>108.47499999999999</v>
      </c>
      <c r="H37" s="3">
        <f>415.066-G37-F37</f>
        <v>159.05800000000002</v>
      </c>
      <c r="I37" s="3">
        <f>574.784-H37-G37-F37</f>
        <v>159.71799999999999</v>
      </c>
      <c r="J37" s="3">
        <v>214.95699999999999</v>
      </c>
      <c r="K37" s="3">
        <f>424.863-J37</f>
        <v>209.90600000000001</v>
      </c>
      <c r="L37" s="3">
        <f>667.714-K37-J37</f>
        <v>242.85100000000006</v>
      </c>
      <c r="M37" s="3">
        <v>273.29300000000001</v>
      </c>
      <c r="N37" s="3">
        <v>300.892</v>
      </c>
      <c r="O37" s="3">
        <f>545.673-N37</f>
        <v>244.78100000000001</v>
      </c>
      <c r="P37" s="3">
        <f>819.191-O37-N37</f>
        <v>273.51800000000009</v>
      </c>
      <c r="Q37" s="3">
        <v>347.01600000000002</v>
      </c>
      <c r="R37" s="3">
        <v>383.22800000000001</v>
      </c>
      <c r="U37" s="3">
        <v>99.942999999999998</v>
      </c>
      <c r="V37" s="3">
        <v>356.56599999999997</v>
      </c>
      <c r="W37" s="3">
        <v>574.78399999999999</v>
      </c>
      <c r="X37" s="3">
        <v>941.00699999999995</v>
      </c>
      <c r="Y37" s="3">
        <v>1166.2070000000001</v>
      </c>
    </row>
    <row r="38" spans="1:31" x14ac:dyDescent="0.2">
      <c r="A38" s="1" t="s">
        <v>57</v>
      </c>
      <c r="B38" s="3">
        <v>9.6940000000000008</v>
      </c>
      <c r="C38" s="3">
        <f>30.334-B38</f>
        <v>20.64</v>
      </c>
      <c r="D38" s="3">
        <f>40.245-C38-B38</f>
        <v>9.910999999999996</v>
      </c>
      <c r="E38" s="3">
        <f>52.799-D38-C38-B38</f>
        <v>12.554000000000004</v>
      </c>
      <c r="F38" s="3">
        <v>25.795999999999999</v>
      </c>
      <c r="G38" s="3">
        <f>55.793-F38</f>
        <v>29.997</v>
      </c>
      <c r="H38" s="3">
        <f>85.42-G38-F38</f>
        <v>29.627000000000002</v>
      </c>
      <c r="I38" s="3">
        <f>112.143-H38-G38-F38</f>
        <v>26.722999999999992</v>
      </c>
      <c r="J38" s="3">
        <v>52.210999999999999</v>
      </c>
      <c r="K38" s="3">
        <f>118.339-J38</f>
        <v>66.128</v>
      </c>
      <c r="L38" s="3">
        <f>179.609-K38-J38</f>
        <v>61.27000000000001</v>
      </c>
      <c r="M38" s="3">
        <v>55.41</v>
      </c>
      <c r="N38" s="3">
        <v>62.264000000000003</v>
      </c>
      <c r="O38" s="3">
        <f>102.681-N38</f>
        <v>40.416999999999994</v>
      </c>
      <c r="P38" s="3">
        <f>123.945-O38-N38</f>
        <v>21.263999999999989</v>
      </c>
      <c r="Q38" s="3">
        <v>52.584000000000003</v>
      </c>
      <c r="R38" s="3">
        <v>49.683</v>
      </c>
      <c r="U38" s="3">
        <v>80.197999999999993</v>
      </c>
      <c r="V38" s="3">
        <v>52.798999999999999</v>
      </c>
      <c r="W38" s="3">
        <v>125.354</v>
      </c>
      <c r="X38" s="3">
        <v>235.01900000000001</v>
      </c>
      <c r="Y38" s="3">
        <v>176.529</v>
      </c>
    </row>
    <row r="39" spans="1:31" x14ac:dyDescent="0.2">
      <c r="A39" s="2" t="s">
        <v>58</v>
      </c>
      <c r="B39" s="6">
        <f t="shared" ref="B39:Q39" si="55">+B37-B38</f>
        <v>88.882999999999996</v>
      </c>
      <c r="C39" s="6">
        <f t="shared" si="55"/>
        <v>34.385000000000005</v>
      </c>
      <c r="D39" s="6">
        <f t="shared" si="55"/>
        <v>78.59</v>
      </c>
      <c r="E39" s="6">
        <f t="shared" si="55"/>
        <v>101.90899999999993</v>
      </c>
      <c r="F39" s="6">
        <f t="shared" si="55"/>
        <v>121.73699999999999</v>
      </c>
      <c r="G39" s="6">
        <f t="shared" si="55"/>
        <v>78.477999999999994</v>
      </c>
      <c r="H39" s="6">
        <f t="shared" si="55"/>
        <v>129.43100000000001</v>
      </c>
      <c r="I39" s="6">
        <f t="shared" si="55"/>
        <v>132.995</v>
      </c>
      <c r="J39" s="6">
        <f t="shared" si="55"/>
        <v>162.74599999999998</v>
      </c>
      <c r="K39" s="6">
        <f t="shared" si="55"/>
        <v>143.77800000000002</v>
      </c>
      <c r="L39" s="6">
        <f t="shared" si="55"/>
        <v>181.58100000000005</v>
      </c>
      <c r="M39" s="6">
        <f t="shared" si="55"/>
        <v>217.88300000000001</v>
      </c>
      <c r="N39" s="6">
        <f t="shared" si="55"/>
        <v>238.62799999999999</v>
      </c>
      <c r="O39" s="6">
        <f t="shared" si="55"/>
        <v>204.364</v>
      </c>
      <c r="P39" s="6">
        <f t="shared" si="55"/>
        <v>252.2540000000001</v>
      </c>
      <c r="Q39" s="6">
        <f t="shared" si="55"/>
        <v>294.43200000000002</v>
      </c>
      <c r="R39" s="6">
        <f>+R37-R38</f>
        <v>333.54500000000002</v>
      </c>
      <c r="U39" s="6">
        <f t="shared" ref="U39:X39" si="56">+U37-U38</f>
        <v>19.745000000000005</v>
      </c>
      <c r="V39" s="6">
        <f t="shared" si="56"/>
        <v>303.767</v>
      </c>
      <c r="W39" s="6">
        <f t="shared" si="56"/>
        <v>449.43</v>
      </c>
      <c r="X39" s="6">
        <f t="shared" si="56"/>
        <v>705.98799999999994</v>
      </c>
      <c r="Y39" s="6">
        <f>+Y37-Y38</f>
        <v>989.67800000000011</v>
      </c>
    </row>
    <row r="40" spans="1:31" x14ac:dyDescent="0.2">
      <c r="A40" s="1" t="s">
        <v>59</v>
      </c>
      <c r="B40" s="3">
        <v>23.638000000000002</v>
      </c>
      <c r="C40" s="3">
        <f>51.351-B40</f>
        <v>27.712999999999997</v>
      </c>
      <c r="D40" s="3">
        <f>101.961-C40-B40</f>
        <v>50.61</v>
      </c>
      <c r="E40" s="3">
        <f>149.675-D40-C40-B40</f>
        <v>47.714000000000013</v>
      </c>
      <c r="F40" s="3">
        <v>54.362000000000002</v>
      </c>
      <c r="G40" s="3">
        <f>130.649-F40</f>
        <v>76.287000000000006</v>
      </c>
      <c r="H40" s="3">
        <f>217.315-G40-F40</f>
        <v>86.665999999999997</v>
      </c>
      <c r="I40" s="3">
        <f>309.952-H40-G40-F40</f>
        <v>92.637</v>
      </c>
      <c r="J40" s="3">
        <v>102.494</v>
      </c>
      <c r="K40" s="3">
        <f>234.044-J40</f>
        <v>131.55000000000001</v>
      </c>
      <c r="L40" s="3">
        <f>374.157-K40-J40</f>
        <v>140.11299999999997</v>
      </c>
      <c r="M40" s="3">
        <v>152.34700000000001</v>
      </c>
      <c r="N40" s="3">
        <v>130.85599999999999</v>
      </c>
      <c r="O40" s="3">
        <f>295.633-N40</f>
        <v>164.77699999999999</v>
      </c>
      <c r="P40" s="3">
        <f>455.247-O40-N40</f>
        <v>159.61400000000003</v>
      </c>
      <c r="Q40" s="3">
        <v>176.27199999999999</v>
      </c>
      <c r="R40" s="3">
        <v>183.125</v>
      </c>
      <c r="U40" s="3">
        <v>79.94</v>
      </c>
      <c r="V40" s="3">
        <v>149.67500000000001</v>
      </c>
      <c r="W40" s="3">
        <v>309.952</v>
      </c>
      <c r="X40" s="3">
        <v>526.50400000000002</v>
      </c>
      <c r="Y40" s="3">
        <v>631.51900000000001</v>
      </c>
    </row>
    <row r="41" spans="1:31" x14ac:dyDescent="0.2">
      <c r="A41" s="2" t="s">
        <v>60</v>
      </c>
      <c r="B41" s="6">
        <f t="shared" ref="B41:Q41" si="57">+B39-B40</f>
        <v>65.24499999999999</v>
      </c>
      <c r="C41" s="6">
        <f t="shared" si="57"/>
        <v>6.6720000000000077</v>
      </c>
      <c r="D41" s="6">
        <f t="shared" si="57"/>
        <v>27.980000000000004</v>
      </c>
      <c r="E41" s="6">
        <f t="shared" si="57"/>
        <v>54.194999999999922</v>
      </c>
      <c r="F41" s="6">
        <f t="shared" si="57"/>
        <v>67.375</v>
      </c>
      <c r="G41" s="6">
        <f t="shared" si="57"/>
        <v>2.1909999999999883</v>
      </c>
      <c r="H41" s="6">
        <f t="shared" si="57"/>
        <v>42.765000000000015</v>
      </c>
      <c r="I41" s="6">
        <f t="shared" si="57"/>
        <v>40.358000000000004</v>
      </c>
      <c r="J41" s="6">
        <f t="shared" si="57"/>
        <v>60.251999999999981</v>
      </c>
      <c r="K41" s="6">
        <f t="shared" si="57"/>
        <v>12.228000000000009</v>
      </c>
      <c r="L41" s="6">
        <f t="shared" si="57"/>
        <v>41.468000000000075</v>
      </c>
      <c r="M41" s="6">
        <f t="shared" si="57"/>
        <v>65.536000000000001</v>
      </c>
      <c r="N41" s="6">
        <f t="shared" si="57"/>
        <v>107.77199999999999</v>
      </c>
      <c r="O41" s="6">
        <f t="shared" si="57"/>
        <v>39.587000000000018</v>
      </c>
      <c r="P41" s="6">
        <f t="shared" si="57"/>
        <v>92.640000000000072</v>
      </c>
      <c r="Q41" s="6">
        <f t="shared" si="57"/>
        <v>118.16000000000003</v>
      </c>
      <c r="R41" s="6">
        <f>+R39-R40</f>
        <v>150.42000000000002</v>
      </c>
      <c r="U41" s="6">
        <f t="shared" ref="U41:X41" si="58">+U39-U40</f>
        <v>-60.194999999999993</v>
      </c>
      <c r="V41" s="6">
        <f t="shared" si="58"/>
        <v>154.09199999999998</v>
      </c>
      <c r="W41" s="6">
        <f t="shared" si="58"/>
        <v>139.47800000000001</v>
      </c>
      <c r="X41" s="6">
        <f t="shared" si="58"/>
        <v>179.48399999999992</v>
      </c>
      <c r="Y41" s="6">
        <f>+Y39-Y40</f>
        <v>358.15900000000011</v>
      </c>
    </row>
    <row r="43" spans="1:31" x14ac:dyDescent="0.2">
      <c r="A43" s="2" t="s">
        <v>69</v>
      </c>
      <c r="E43" s="3">
        <f t="shared" ref="E43" si="59">+E39+SUM(B39:D39)</f>
        <v>303.76699999999994</v>
      </c>
      <c r="F43" s="3">
        <f t="shared" ref="F43" si="60">+F39+SUM(C39:E39)</f>
        <v>336.62099999999998</v>
      </c>
      <c r="G43" s="3">
        <f t="shared" ref="G43" si="61">+G39+SUM(D39:F39)</f>
        <v>380.71399999999994</v>
      </c>
      <c r="H43" s="3">
        <f t="shared" ref="H43" si="62">+H39+SUM(E39:G39)</f>
        <v>431.55499999999995</v>
      </c>
      <c r="I43" s="3">
        <f t="shared" ref="I43" si="63">+I39+SUM(F39:H39)</f>
        <v>462.64099999999996</v>
      </c>
      <c r="J43" s="3">
        <f t="shared" ref="J43" si="64">+J39+SUM(G39:I39)</f>
        <v>503.65</v>
      </c>
      <c r="K43" s="3">
        <f t="shared" ref="K43" si="65">+K39+SUM(H39:J39)</f>
        <v>568.95000000000005</v>
      </c>
      <c r="L43" s="3">
        <f t="shared" ref="L43" si="66">+L39+SUM(I39:K39)</f>
        <v>621.1</v>
      </c>
      <c r="M43" s="3">
        <f t="shared" ref="M43:Q43" si="67">+M39+SUM(J39:L39)</f>
        <v>705.98800000000006</v>
      </c>
      <c r="N43" s="3">
        <f t="shared" si="67"/>
        <v>781.87000000000012</v>
      </c>
      <c r="O43" s="3">
        <f t="shared" si="67"/>
        <v>842.45600000000013</v>
      </c>
      <c r="P43" s="3">
        <f t="shared" si="67"/>
        <v>913.12900000000013</v>
      </c>
      <c r="Q43" s="3">
        <f t="shared" si="67"/>
        <v>989.67800000000011</v>
      </c>
      <c r="R43" s="3">
        <f>+R39+SUM(O39:Q39)</f>
        <v>1084.5950000000003</v>
      </c>
    </row>
    <row r="44" spans="1:31" x14ac:dyDescent="0.2">
      <c r="A44" s="1" t="s">
        <v>70</v>
      </c>
      <c r="H44" s="4">
        <f>+H43/E43-1</f>
        <v>0.42067769046670644</v>
      </c>
      <c r="I44" s="4">
        <f t="shared" ref="I44:R44" si="68">+I43/F43-1</f>
        <v>0.37436761224047221</v>
      </c>
      <c r="J44" s="4">
        <f t="shared" si="68"/>
        <v>0.32290906034451061</v>
      </c>
      <c r="K44" s="4">
        <f t="shared" si="68"/>
        <v>0.31837193405243847</v>
      </c>
      <c r="L44" s="4">
        <f t="shared" si="68"/>
        <v>0.34250963490049546</v>
      </c>
      <c r="M44" s="4">
        <f t="shared" si="68"/>
        <v>0.40174327409907695</v>
      </c>
      <c r="N44" s="4">
        <f t="shared" si="68"/>
        <v>0.37423323666403041</v>
      </c>
      <c r="O44" s="4">
        <f t="shared" si="68"/>
        <v>0.356393495411367</v>
      </c>
      <c r="P44" s="4">
        <f t="shared" si="68"/>
        <v>0.29340583692640676</v>
      </c>
      <c r="Q44" s="4">
        <f t="shared" si="68"/>
        <v>0.26578331436172253</v>
      </c>
      <c r="R44" s="4">
        <f t="shared" si="68"/>
        <v>0.28742035192342397</v>
      </c>
    </row>
    <row r="45" spans="1:31" x14ac:dyDescent="0.2"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31" x14ac:dyDescent="0.2">
      <c r="A46" s="1" t="s">
        <v>68</v>
      </c>
      <c r="F46" s="1">
        <v>3871</v>
      </c>
      <c r="G46" s="1">
        <v>4224</v>
      </c>
      <c r="H46" s="1">
        <v>4543</v>
      </c>
      <c r="I46" s="1">
        <v>4543</v>
      </c>
      <c r="N46" s="1">
        <v>7321</v>
      </c>
      <c r="O46" s="1">
        <v>7586</v>
      </c>
      <c r="Q46" s="1">
        <v>7925</v>
      </c>
      <c r="R46" s="1">
        <v>8429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alexandreduartemorais@gmail.com</dc:creator>
  <cp:lastModifiedBy>alexandreduartemorais@gmail.com</cp:lastModifiedBy>
  <dcterms:created xsi:type="dcterms:W3CDTF">2024-07-22T21:21:42Z</dcterms:created>
  <dcterms:modified xsi:type="dcterms:W3CDTF">2024-09-05T20:31:46Z</dcterms:modified>
</cp:coreProperties>
</file>