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343" documentId="8_{C27F261F-2297-4CCC-BDF8-E8F1394A6E96}" xr6:coauthVersionLast="47" xr6:coauthVersionMax="47" xr10:uidLastSave="{2A441646-7CA6-4BBC-9BF0-E50EBD9B800A}"/>
  <bookViews>
    <workbookView xWindow="11424" yWindow="0" windowWidth="11712" windowHeight="12336" xr2:uid="{3B2025AE-B574-4F46-A0A9-C6C46C855D38}"/>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 l="1" a="1"/>
  <c r="J3" i="1" s="1"/>
  <c r="V4" i="2"/>
  <c r="W4" i="2" s="1"/>
  <c r="X4" i="2" s="1"/>
  <c r="Y4" i="2" s="1"/>
  <c r="U4" i="2"/>
  <c r="T4" i="2"/>
  <c r="T12" i="2" s="1"/>
  <c r="T3" i="2"/>
  <c r="U3" i="2" s="1"/>
  <c r="V3" i="2" s="1"/>
  <c r="W3" i="2" s="1"/>
  <c r="X3" i="2" s="1"/>
  <c r="Y3" i="2" s="1"/>
  <c r="K31" i="2"/>
  <c r="J31" i="2"/>
  <c r="I31" i="2"/>
  <c r="H31" i="2"/>
  <c r="G31" i="2"/>
  <c r="F31" i="2"/>
  <c r="E31" i="2"/>
  <c r="D31" i="2"/>
  <c r="C31" i="2"/>
  <c r="L31" i="2"/>
  <c r="L49" i="2"/>
  <c r="J28" i="2"/>
  <c r="J27" i="2"/>
  <c r="I28" i="2"/>
  <c r="I27" i="2"/>
  <c r="T15" i="2"/>
  <c r="U15" i="2" s="1"/>
  <c r="V15" i="2" s="1"/>
  <c r="W15" i="2" s="1"/>
  <c r="X15" i="2" s="1"/>
  <c r="Y15" i="2" s="1"/>
  <c r="T16" i="2"/>
  <c r="U16" i="2" s="1"/>
  <c r="V16" i="2" s="1"/>
  <c r="W16" i="2" s="1"/>
  <c r="X16" i="2" s="1"/>
  <c r="Y16" i="2" s="1"/>
  <c r="T14" i="2"/>
  <c r="U14" i="2" s="1"/>
  <c r="V14" i="2" s="1"/>
  <c r="W14" i="2" s="1"/>
  <c r="X14" i="2" s="1"/>
  <c r="Y14" i="2" s="1"/>
  <c r="S28" i="2"/>
  <c r="R28" i="2"/>
  <c r="S27" i="2"/>
  <c r="R27" i="2"/>
  <c r="Q18" i="2"/>
  <c r="S18" i="2"/>
  <c r="R18" i="2"/>
  <c r="S10" i="2"/>
  <c r="S13" i="2" s="1"/>
  <c r="S30" i="2" s="1"/>
  <c r="R10" i="2"/>
  <c r="R13" i="2" s="1"/>
  <c r="R30" i="2" s="1"/>
  <c r="Q10" i="2"/>
  <c r="Q13" i="2" s="1"/>
  <c r="Q30" i="2" s="1"/>
  <c r="R2" i="2"/>
  <c r="S2" i="2" s="1"/>
  <c r="T2" i="2" s="1"/>
  <c r="U2" i="2" s="1"/>
  <c r="V2" i="2" s="1"/>
  <c r="W2" i="2" s="1"/>
  <c r="X2" i="2" s="1"/>
  <c r="Y2" i="2" s="1"/>
  <c r="G39" i="2"/>
  <c r="H39" i="2" s="1"/>
  <c r="K39" i="2"/>
  <c r="L39" i="2" s="1"/>
  <c r="K28" i="2"/>
  <c r="K27" i="2"/>
  <c r="L42" i="2"/>
  <c r="T20" i="2" s="1"/>
  <c r="F40" i="2"/>
  <c r="E40" i="2"/>
  <c r="D40" i="2"/>
  <c r="C40" i="2"/>
  <c r="H37" i="2"/>
  <c r="I37" i="2" s="1"/>
  <c r="J37" i="2" s="1"/>
  <c r="L37" i="2"/>
  <c r="H38" i="2"/>
  <c r="I38" i="2" s="1"/>
  <c r="J38" i="2" s="1"/>
  <c r="L38" i="2"/>
  <c r="I39" i="2" l="1"/>
  <c r="J39" i="2" s="1"/>
  <c r="J40" i="2" s="1"/>
  <c r="T28" i="2"/>
  <c r="R29" i="2"/>
  <c r="S29" i="2"/>
  <c r="T27" i="2"/>
  <c r="T10" i="2"/>
  <c r="T11" i="2" s="1"/>
  <c r="Y27" i="2"/>
  <c r="V27" i="2"/>
  <c r="U27" i="2"/>
  <c r="T18" i="2"/>
  <c r="V18" i="2"/>
  <c r="S19" i="2"/>
  <c r="S21" i="2" s="1"/>
  <c r="S23" i="2" s="1"/>
  <c r="S25" i="2" s="1"/>
  <c r="R19" i="2"/>
  <c r="R21" i="2" s="1"/>
  <c r="R23" i="2" s="1"/>
  <c r="R25" i="2" s="1"/>
  <c r="Q19" i="2"/>
  <c r="Q21" i="2" s="1"/>
  <c r="Q23" i="2" s="1"/>
  <c r="Q25" i="2" s="1"/>
  <c r="G40" i="2"/>
  <c r="H40" i="2"/>
  <c r="K40" i="2"/>
  <c r="L40" i="2"/>
  <c r="K41" i="2" l="1"/>
  <c r="I40" i="2"/>
  <c r="L41" i="2" s="1"/>
  <c r="J41" i="2"/>
  <c r="V12" i="2"/>
  <c r="T29" i="2"/>
  <c r="U10" i="2"/>
  <c r="U11" i="2" s="1"/>
  <c r="V28" i="2"/>
  <c r="W12" i="2"/>
  <c r="U12" i="2"/>
  <c r="W28" i="2"/>
  <c r="V10" i="2"/>
  <c r="V11" i="2" s="1"/>
  <c r="U28" i="2"/>
  <c r="T13" i="2"/>
  <c r="T30" i="2" s="1"/>
  <c r="W27" i="2"/>
  <c r="X27" i="2"/>
  <c r="U18" i="2"/>
  <c r="W18" i="2"/>
  <c r="W10" i="2"/>
  <c r="L28" i="2"/>
  <c r="L27" i="2"/>
  <c r="V13" i="2" l="1"/>
  <c r="V19" i="2" s="1"/>
  <c r="V32" i="2" s="1"/>
  <c r="U13" i="2"/>
  <c r="U30" i="2" s="1"/>
  <c r="U29" i="2"/>
  <c r="V29" i="2"/>
  <c r="X12" i="2"/>
  <c r="X28" i="2"/>
  <c r="T19" i="2"/>
  <c r="T21" i="2" s="1"/>
  <c r="W11" i="2"/>
  <c r="W13" i="2" s="1"/>
  <c r="W29" i="2"/>
  <c r="Y18" i="2"/>
  <c r="X18" i="2"/>
  <c r="Y10" i="2"/>
  <c r="X10" i="2"/>
  <c r="K18" i="2"/>
  <c r="J18" i="2"/>
  <c r="I18" i="2"/>
  <c r="H18" i="2"/>
  <c r="G18" i="2"/>
  <c r="F18" i="2"/>
  <c r="E18" i="2"/>
  <c r="D18" i="2"/>
  <c r="C18" i="2"/>
  <c r="L18" i="2"/>
  <c r="K10" i="2"/>
  <c r="J10" i="2"/>
  <c r="I10" i="2"/>
  <c r="H10" i="2"/>
  <c r="G10" i="2"/>
  <c r="F10" i="2"/>
  <c r="E10" i="2"/>
  <c r="D10" i="2"/>
  <c r="D13" i="2" s="1"/>
  <c r="D30" i="2" s="1"/>
  <c r="C10" i="2"/>
  <c r="C13" i="2" s="1"/>
  <c r="C30" i="2" s="1"/>
  <c r="L10" i="2"/>
  <c r="J6" i="1"/>
  <c r="J4" i="1"/>
  <c r="J5" i="1"/>
  <c r="J8" i="1" s="1"/>
  <c r="J10" i="1" s="1"/>
  <c r="V30" i="2" l="1"/>
  <c r="E13" i="2"/>
  <c r="E30" i="2" s="1"/>
  <c r="E34" i="2"/>
  <c r="E35" i="2"/>
  <c r="E33" i="2"/>
  <c r="I33" i="2"/>
  <c r="I34" i="2"/>
  <c r="I35" i="2"/>
  <c r="J13" i="2"/>
  <c r="J30" i="2" s="1"/>
  <c r="J34" i="2"/>
  <c r="J33" i="2"/>
  <c r="J29" i="2"/>
  <c r="J35" i="2"/>
  <c r="F13" i="2"/>
  <c r="F30" i="2" s="1"/>
  <c r="F35" i="2"/>
  <c r="F34" i="2"/>
  <c r="F33" i="2"/>
  <c r="G35" i="2"/>
  <c r="G34" i="2"/>
  <c r="G33" i="2"/>
  <c r="H13" i="2"/>
  <c r="H30" i="2" s="1"/>
  <c r="H34" i="2"/>
  <c r="H33" i="2"/>
  <c r="H35" i="2"/>
  <c r="L35" i="2"/>
  <c r="L34" i="2"/>
  <c r="L33" i="2"/>
  <c r="K35" i="2"/>
  <c r="K34" i="2"/>
  <c r="K33" i="2"/>
  <c r="U19" i="2"/>
  <c r="U32" i="2" s="1"/>
  <c r="Y28" i="2"/>
  <c r="Y12" i="2"/>
  <c r="I13" i="2"/>
  <c r="I19" i="2" s="1"/>
  <c r="I21" i="2" s="1"/>
  <c r="I23" i="2" s="1"/>
  <c r="I25" i="2" s="1"/>
  <c r="I29" i="2"/>
  <c r="G13" i="2"/>
  <c r="G30" i="2" s="1"/>
  <c r="T32" i="2"/>
  <c r="W30" i="2"/>
  <c r="W19" i="2"/>
  <c r="W32" i="2" s="1"/>
  <c r="X11" i="2"/>
  <c r="X13" i="2" s="1"/>
  <c r="X29" i="2"/>
  <c r="Y11" i="2"/>
  <c r="Y29" i="2"/>
  <c r="T22" i="2"/>
  <c r="T23" i="2" s="1"/>
  <c r="K13" i="2"/>
  <c r="K30" i="2" s="1"/>
  <c r="K29" i="2"/>
  <c r="E19" i="2"/>
  <c r="E21" i="2" s="1"/>
  <c r="E23" i="2" s="1"/>
  <c r="E25" i="2" s="1"/>
  <c r="J19" i="2"/>
  <c r="J21" i="2" s="1"/>
  <c r="J23" i="2" s="1"/>
  <c r="J25" i="2" s="1"/>
  <c r="C19" i="2"/>
  <c r="C21" i="2" s="1"/>
  <c r="C23" i="2" s="1"/>
  <c r="C25" i="2" s="1"/>
  <c r="F19" i="2"/>
  <c r="F21" i="2" s="1"/>
  <c r="F23" i="2" s="1"/>
  <c r="F25" i="2" s="1"/>
  <c r="G19" i="2"/>
  <c r="G21" i="2" s="1"/>
  <c r="G23" i="2" s="1"/>
  <c r="G25" i="2" s="1"/>
  <c r="D19" i="2"/>
  <c r="D21" i="2" s="1"/>
  <c r="D23" i="2" s="1"/>
  <c r="D25" i="2" s="1"/>
  <c r="L29" i="2"/>
  <c r="L13" i="2"/>
  <c r="H19" i="2"/>
  <c r="H21" i="2" s="1"/>
  <c r="H23" i="2" s="1"/>
  <c r="H25" i="2" s="1"/>
  <c r="I30" i="2" l="1"/>
  <c r="Y13" i="2"/>
  <c r="Y30" i="2" s="1"/>
  <c r="K19" i="2"/>
  <c r="K21" i="2" s="1"/>
  <c r="K23" i="2" s="1"/>
  <c r="K25" i="2" s="1"/>
  <c r="X30" i="2"/>
  <c r="X19" i="2"/>
  <c r="X32" i="2" s="1"/>
  <c r="T25" i="2"/>
  <c r="T42" i="2"/>
  <c r="U20" i="2" s="1"/>
  <c r="U21" i="2" s="1"/>
  <c r="U22" i="2" s="1"/>
  <c r="L19" i="2"/>
  <c r="L21" i="2" s="1"/>
  <c r="L23" i="2" s="1"/>
  <c r="L25" i="2" s="1"/>
  <c r="L30" i="2"/>
  <c r="Y19" i="2" l="1"/>
  <c r="Y32" i="2" s="1"/>
  <c r="U23" i="2"/>
  <c r="U42" i="2" s="1"/>
  <c r="V20" i="2" s="1"/>
  <c r="V21" i="2" s="1"/>
  <c r="U25" i="2" l="1"/>
  <c r="V22" i="2"/>
  <c r="V23" i="2" s="1"/>
  <c r="V25" i="2" l="1"/>
  <c r="V42" i="2"/>
  <c r="W20" i="2" l="1"/>
  <c r="W21" i="2" s="1"/>
  <c r="W22" i="2" l="1"/>
  <c r="W23" i="2" s="1"/>
  <c r="W25" i="2" l="1"/>
  <c r="W42" i="2"/>
  <c r="X20" i="2" l="1"/>
  <c r="X21" i="2" s="1"/>
  <c r="X22" i="2" l="1"/>
  <c r="X23" i="2" s="1"/>
  <c r="X25" i="2" l="1"/>
  <c r="X42" i="2"/>
  <c r="Y20" i="2" l="1"/>
  <c r="Y21" i="2" s="1"/>
  <c r="Y22" i="2" l="1"/>
  <c r="Y23" i="2" s="1"/>
  <c r="Z23" i="2" s="1"/>
  <c r="AA23" i="2" s="1"/>
  <c r="AB23" i="2" s="1"/>
  <c r="AC23" i="2" s="1"/>
  <c r="AD23" i="2" s="1"/>
  <c r="AE23" i="2" s="1"/>
  <c r="AF23" i="2" s="1"/>
  <c r="AG23" i="2" s="1"/>
  <c r="AH23" i="2" s="1"/>
  <c r="AI23" i="2" s="1"/>
  <c r="AJ23" i="2" s="1"/>
  <c r="AK23" i="2" s="1"/>
  <c r="AL23" i="2" s="1"/>
  <c r="AM23" i="2" s="1"/>
  <c r="AN23" i="2" s="1"/>
  <c r="AO23" i="2" s="1"/>
  <c r="AP23" i="2" s="1"/>
  <c r="AQ23" i="2" s="1"/>
  <c r="AR23" i="2" s="1"/>
  <c r="AS23" i="2" s="1"/>
  <c r="AT23" i="2" s="1"/>
  <c r="AU23" i="2" s="1"/>
  <c r="AV23" i="2" s="1"/>
  <c r="AW23" i="2" s="1"/>
  <c r="AX23" i="2" s="1"/>
  <c r="AY23" i="2" s="1"/>
  <c r="AZ23" i="2" s="1"/>
  <c r="BA23" i="2" s="1"/>
  <c r="BB23" i="2" s="1"/>
  <c r="BC23" i="2" s="1"/>
  <c r="BD23" i="2" s="1"/>
  <c r="BE23" i="2" s="1"/>
  <c r="BF23" i="2" s="1"/>
  <c r="BG23" i="2" s="1"/>
  <c r="BH23" i="2" s="1"/>
  <c r="AB6" i="2" s="1"/>
  <c r="AB7" i="2" s="1"/>
  <c r="Y25" i="2" l="1"/>
  <c r="Y4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M3" authorId="0" shapeId="0" xr:uid="{D005AB4C-76D2-48A3-9183-854CDD534E04}">
      <text>
        <r>
          <rPr>
            <b/>
            <sz val="9"/>
            <color indexed="81"/>
            <rFont val="Tahoma"/>
            <charset val="1"/>
          </rPr>
          <t>alexa:</t>
        </r>
        <r>
          <rPr>
            <sz val="9"/>
            <color indexed="81"/>
            <rFont val="Tahoma"/>
            <charset val="1"/>
          </rPr>
          <t xml:space="preserve">
177,5-178,5</t>
        </r>
      </text>
    </comment>
    <comment ref="T3" authorId="0" shapeId="0" xr:uid="{88CA22F7-319C-4EAF-8D9C-9251B5BEB1CE}">
      <text>
        <r>
          <rPr>
            <b/>
            <sz val="9"/>
            <color indexed="81"/>
            <rFont val="Tahoma"/>
            <charset val="1"/>
          </rPr>
          <t>alexa:</t>
        </r>
        <r>
          <rPr>
            <sz val="9"/>
            <color indexed="81"/>
            <rFont val="Tahoma"/>
            <charset val="1"/>
          </rPr>
          <t xml:space="preserve">
710,5-712,5</t>
        </r>
      </text>
    </comment>
    <comment ref="M10" authorId="0" shapeId="0" xr:uid="{B4C6DAC5-0A42-4843-A4F5-FC4B905C2AE8}">
      <text>
        <r>
          <rPr>
            <b/>
            <sz val="9"/>
            <color indexed="81"/>
            <rFont val="Tahoma"/>
            <charset val="1"/>
          </rPr>
          <t>alexa:</t>
        </r>
        <r>
          <rPr>
            <sz val="9"/>
            <color indexed="81"/>
            <rFont val="Tahoma"/>
            <charset val="1"/>
          </rPr>
          <t xml:space="preserve">
196-197M</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<sst xmlns="http://schemas.openxmlformats.org/spreadsheetml/2006/main" count="72" uniqueCount="69">
  <si>
    <t>Ticket</t>
  </si>
  <si>
    <t>Price</t>
  </si>
  <si>
    <t>S/O</t>
  </si>
  <si>
    <t>MC</t>
  </si>
  <si>
    <t>Cash</t>
  </si>
  <si>
    <t>Debt</t>
  </si>
  <si>
    <t>EV</t>
  </si>
  <si>
    <t>EV/FCF</t>
  </si>
  <si>
    <t>Subscription</t>
  </si>
  <si>
    <t>Professional Services</t>
  </si>
  <si>
    <t>Q1 2022</t>
  </si>
  <si>
    <t>Q2 2022</t>
  </si>
  <si>
    <t>Q3 2022</t>
  </si>
  <si>
    <t>Q4 2022</t>
  </si>
  <si>
    <t>Q1 2023</t>
  </si>
  <si>
    <t>Q2 2023</t>
  </si>
  <si>
    <t>Q3 2023</t>
  </si>
  <si>
    <t>Q4 2023</t>
  </si>
  <si>
    <t>Q1 2024</t>
  </si>
  <si>
    <t>Q2 2024</t>
  </si>
  <si>
    <t>Q3 2024</t>
  </si>
  <si>
    <t>Q4 2024</t>
  </si>
  <si>
    <t>Revenue</t>
  </si>
  <si>
    <t>COGS Subs</t>
  </si>
  <si>
    <t>COGS Professional</t>
  </si>
  <si>
    <t>Gross Profit</t>
  </si>
  <si>
    <t>R&amp;D</t>
  </si>
  <si>
    <t>S&amp;M</t>
  </si>
  <si>
    <t>G&amp;A</t>
  </si>
  <si>
    <t>Total Opex</t>
  </si>
  <si>
    <t>Operating Income</t>
  </si>
  <si>
    <t>Other income</t>
  </si>
  <si>
    <t>Pretax Income</t>
  </si>
  <si>
    <t>Taxes</t>
  </si>
  <si>
    <t>Net Income</t>
  </si>
  <si>
    <t>Shares</t>
  </si>
  <si>
    <t>EPS</t>
  </si>
  <si>
    <t>Revenue y/y</t>
  </si>
  <si>
    <t>Founded</t>
  </si>
  <si>
    <t>Founder</t>
  </si>
  <si>
    <t>HQ</t>
  </si>
  <si>
    <t>NY, USA</t>
  </si>
  <si>
    <t>CEO</t>
  </si>
  <si>
    <t>IPO</t>
  </si>
  <si>
    <t>Industry</t>
  </si>
  <si>
    <t>SaaS</t>
  </si>
  <si>
    <t>Americas</t>
  </si>
  <si>
    <t>EMEA</t>
  </si>
  <si>
    <t>Other</t>
  </si>
  <si>
    <t>SBC</t>
  </si>
  <si>
    <t>CFFO</t>
  </si>
  <si>
    <t>CAPEX</t>
  </si>
  <si>
    <t>FCF</t>
  </si>
  <si>
    <t>Net Cash</t>
  </si>
  <si>
    <t>NRR</t>
  </si>
  <si>
    <t>RPO</t>
  </si>
  <si>
    <t>main</t>
  </si>
  <si>
    <t>Gross Margin</t>
  </si>
  <si>
    <t>Litigation Settlement</t>
  </si>
  <si>
    <t>Discount</t>
  </si>
  <si>
    <t>Maturity</t>
  </si>
  <si>
    <t>ROIC</t>
  </si>
  <si>
    <t>NPV</t>
  </si>
  <si>
    <t>R&amp;D %</t>
  </si>
  <si>
    <t>S&amp;M %</t>
  </si>
  <si>
    <t>G&amp;A %</t>
  </si>
  <si>
    <t>TTM</t>
  </si>
  <si>
    <t>$1M+ Customers</t>
  </si>
  <si>
    <t xml:space="preserve">Operating Margin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</si>
</sst>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C09]* #,##0.00_-;\-[$$-C09]* #,##0.00_-;_-[$$-C09]* &quot;-&quot;??_-;_-@_-"/>
    <numFmt numFmtId="165" formatCode="0.0\x"/>
    <numFmt numFmtId="166" formatCode="_-[$$-409]* #,##0.00_ ;_-[$$-409]* \-#,##0.00\ ;_-[$$-409]* &quot;-&quot;??_ ;_-@_ "/>
    <numFmt numFmtId="167" formatCode="0.0%"/>
    <numFmt numFmtId="168" formatCode="#,##0_ ;[Red]\-#,##0\ "/>
    <numFmt numFmtId="169" formatCode="[$$-409]#,##0.00"/>
  </numFmts>
  <fonts count="6" x14ac:knownFonts="1">
    <font>
      <sz val="11"/>
      <color theme="1"/>
      <name val="Aptos Narrow"/>
      <family val="2"/>
      <scheme val="minor"/>
    </font>
    <font>
      <sz val="10"/>
      <color theme="1"/>
      <name val="Arial"/>
      <family val="2"/>
    </font>
    <font>
      <b/>
      <sz val="10"/>
      <color theme="1"/>
      <name val="Arial"/>
      <family val="2"/>
    </font>
    <font>
      <u/>
      <sz val="11"/>
      <color theme="10"/>
      <name val="Aptos Narrow"/>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xf numFmtId="164" fontId="1" fillId="0" borderId="0" xfId="0" applyNumberFormat="1" applyFont="1"/>
    <xf numFmtId="3" fontId="1" fillId="0" borderId="0" xfId="0" applyNumberFormat="1" applyFont="1"/>
    <xf numFmtId="165" fontId="1" fillId="0" borderId="0" xfId="0" applyNumberFormat="1" applyFont="1"/>
    <xf numFmtId="0" fontId="2" fillId="0" borderId="0" xfId="0" applyFont="1"/>
    <xf numFmtId="166" fontId="1" fillId="0" borderId="0" xfId="0" applyNumberFormat="1" applyFont="1"/>
    <xf numFmtId="9" fontId="1" fillId="0" borderId="0" xfId="0" applyNumberFormat="1" applyFont="1"/>
    <xf numFmtId="167" fontId="1" fillId="0" borderId="0" xfId="0" applyNumberFormat="1" applyFont="1"/>
    <xf numFmtId="3" fontId="2" fillId="0" borderId="0" xfId="0" applyNumberFormat="1" applyFont="1"/>
    <xf numFmtId="0" fontId="3" fillId="0" borderId="0" xfId="1"/>
    <xf numFmtId="167" fontId="2" fillId="0" borderId="0" xfId="0" applyNumberFormat="1" applyFont="1"/>
    <xf numFmtId="168" fontId="1" fillId="0" borderId="0" xfId="0" applyNumberFormat="1" applyFont="1"/>
    <xf numFmtId="169"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19</xdr:col>
      <xdr:colOff>0</xdr:colOff>
      <xdr:row>0</xdr:row>
      <xdr:rowOff>0</xdr:rowOff>
    </xdr:from>
    <xdr:to>
      <xdr:col>19</xdr:col>
      <xdr:colOff>33866</xdr:colOff>
      <xdr:row>51</xdr:row>
      <xdr:rowOff>67733</xdr:rowOff>
    </xdr:to>
    <xdr:cxnSp macro="">
      <xdr:nvCxnSpPr>
        <xdr:cNvPr id="3" name="Straight Connector 2">
          <a:extLst>
            <a:ext uri="{FF2B5EF4-FFF2-40B4-BE49-F238E27FC236}">
              <a16:creationId xmlns:a16="http://schemas.microsoft.com/office/drawing/2014/main" id="{36A87D17-2820-02A7-93F5-743B9E3341FD}"/>
            </a:ext>
          </a:extLst>
        </xdr:cNvPr>
        <xdr:cNvCxnSpPr/>
      </xdr:nvCxnSpPr>
      <xdr:spPr>
        <a:xfrm>
          <a:off x="11997267" y="0"/>
          <a:ext cx="33866" cy="78740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601133</xdr:colOff>
      <xdr:row>0</xdr:row>
      <xdr:rowOff>16933</xdr:rowOff>
    </xdr:from>
    <xdr:to>
      <xdr:col>12</xdr:col>
      <xdr:colOff>8466</xdr:colOff>
      <xdr:row>49</xdr:row>
      <xdr:rowOff>42334</xdr:rowOff>
    </xdr:to>
    <xdr:cxnSp macro="">
      <xdr:nvCxnSpPr>
        <xdr:cNvPr id="4" name="Straight Connector 3">
          <a:extLst>
            <a:ext uri="{FF2B5EF4-FFF2-40B4-BE49-F238E27FC236}">
              <a16:creationId xmlns:a16="http://schemas.microsoft.com/office/drawing/2014/main" id="{1CF12DDC-A6F5-89D6-9C64-A4897E9773B1}"/>
            </a:ext>
          </a:extLst>
        </xdr:cNvPr>
        <xdr:cNvCxnSpPr/>
      </xdr:nvCxnSpPr>
      <xdr:spPr>
        <a:xfrm flipH="1">
          <a:off x="7721600" y="16933"/>
          <a:ext cx="16933" cy="8170334"/>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https://www.bing.com/financeapi/forcetrigger?t=c2clh7&amp;q=XNYS%3aCXM&amp;form=skydnc</v>
    <v>Learn more on Bing</v>
  </rv>
  <rv s="1">
    <v>en-GB</v>
    <v>c2clh7</v>
    <v>268435456</v>
    <v>1</v>
    <v>Powered by Refinitiv</v>
    <v>0</v>
    <v>SPRINKLR, INC. (XNYS:CXM)</v>
    <v>2</v>
    <v>3</v>
    <v>Finance</v>
    <v>4</v>
    <v>17.14</v>
    <v>6.9249999999999998</v>
    <v>0.77480000000000004</v>
    <v>-0.04</v>
    <v>2.0057000000000002E-2</v>
    <v>-5.6979999999999999E-3</v>
    <v>0.14000000000000001</v>
    <v>USD</v>
    <v>Sprinklr, Inc. is an enterprise software company for customer-facing functions. The Company's artificial intelligence (AI)-powered platform, Unified Customer Experience Management, enables customer-facing functions across the front office, from customer service to marketing, to collaborate across internal silos, communicate across digital channels, and leverage a complete suite of capabilities to deliver human customer experiences. Its platform enables organizations to connect with customers via approximately 30 digital channels, including messaging, live chat, text, social media, and hundreds of millions of forums, blogs, news, and review sites. Its single-codebase platform is designed to handle unstructured data. It offers a range of digital use cases across the front office. Its unified platform enables broad-based listening, seamless collaboration across the entire customer journey, skills-based workflow, customer-led governance, and timely decision-making.</v>
    <v>3869</v>
    <v>New York Stock Exchange</v>
    <v>XNYS</v>
    <v>XNYS</v>
    <v>29 West 35Th Street, 7Th Floor, NEW YORK, NY, 10001 US</v>
    <v>7.12</v>
    <v>Software &amp; IT Services</v>
    <v>Stock</v>
    <v>45573.973069988278</v>
    <v>0</v>
    <v>6.95</v>
    <v>1769210130</v>
    <v>SPRINKLR, INC.</v>
    <v>SPRINKLR, INC.</v>
    <v>7.01</v>
    <v>39.681600000000003</v>
    <v>7.02</v>
    <v>6.98</v>
    <v>7.12</v>
    <v>253468500</v>
    <v>CXM</v>
    <v>SPRINKLR, INC. (XNYS:CXM)</v>
    <v>1366175</v>
    <v>2015438</v>
    <v>2011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B9C06-1563-4854-8825-7D9655EABFA1}">
  <dimension ref="E2:J10"/>
  <sheetViews>
    <sheetView tabSelected="1" topLeftCell="E1" workbookViewId="0">
      <selection activeCell="I5" sqref="I5"/>
    </sheetView>
  </sheetViews>
  <sheetFormatPr defaultRowHeight="13.2" x14ac:dyDescent="0.25"/>
  <cols>
    <col min="1" max="16384" width="8.88671875" style="1"/>
  </cols>
  <sheetData>
    <row r="2" spans="5:10" x14ac:dyDescent="0.25">
      <c r="E2" s="5" t="s">
        <v>38</v>
      </c>
      <c r="F2" s="1">
        <v>2009</v>
      </c>
      <c r="I2" s="5" t="s">
        <v>0</v>
      </c>
      <c r="J2" s="1" t="e" vm="1">
        <v>#VALUE!</v>
      </c>
    </row>
    <row r="3" spans="5:10" x14ac:dyDescent="0.25">
      <c r="E3" s="5" t="s">
        <v>39</v>
      </c>
      <c r="I3" s="5" t="s">
        <v>1</v>
      </c>
      <c r="J3" s="2" cm="1">
        <f t="array" aca="1" ref="J3" ca="1">+_FV(J2,"Price")</f>
        <v>6.98</v>
      </c>
    </row>
    <row r="4" spans="5:10" x14ac:dyDescent="0.25">
      <c r="E4" s="5" t="s">
        <v>42</v>
      </c>
      <c r="I4" s="5" t="s">
        <v>2</v>
      </c>
      <c r="J4" s="1">
        <f>136.97024+116.498241</f>
        <v>253.468481</v>
      </c>
    </row>
    <row r="5" spans="5:10" x14ac:dyDescent="0.25">
      <c r="E5" s="5" t="s">
        <v>40</v>
      </c>
      <c r="F5" s="1" t="s">
        <v>41</v>
      </c>
      <c r="I5" s="5" t="s">
        <v>3</v>
      </c>
      <c r="J5" s="3">
        <f ca="1">+J3*J4</f>
        <v>1769.20999738</v>
      </c>
    </row>
    <row r="6" spans="5:10" x14ac:dyDescent="0.25">
      <c r="E6" s="5" t="s">
        <v>43</v>
      </c>
      <c r="I6" s="5" t="s">
        <v>4</v>
      </c>
      <c r="J6" s="3">
        <f>119.119+349.332</f>
        <v>468.45100000000002</v>
      </c>
    </row>
    <row r="7" spans="5:10" x14ac:dyDescent="0.25">
      <c r="E7" s="5" t="s">
        <v>44</v>
      </c>
      <c r="F7" s="1" t="s">
        <v>45</v>
      </c>
      <c r="I7" s="5" t="s">
        <v>5</v>
      </c>
      <c r="J7" s="3"/>
    </row>
    <row r="8" spans="5:10" x14ac:dyDescent="0.25">
      <c r="I8" s="5" t="s">
        <v>6</v>
      </c>
      <c r="J8" s="3">
        <f ca="1">+J5-J6+J7</f>
        <v>1300.75899738</v>
      </c>
    </row>
    <row r="9" spans="5:10" x14ac:dyDescent="0.25">
      <c r="I9" s="5"/>
    </row>
    <row r="10" spans="5:10" x14ac:dyDescent="0.25">
      <c r="I10" s="5" t="s">
        <v>7</v>
      </c>
      <c r="J10" s="4">
        <f ca="1">+J8/105</f>
        <v>12.388180927428571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A9B47-820F-4ED1-9946-2D742D2AB7F6}">
  <dimension ref="A1:BH49"/>
  <sheetViews>
    <sheetView zoomScale="90" zoomScaleNormal="90" workbookViewId="0">
      <pane xSplit="2" ySplit="2" topLeftCell="V3" activePane="bottomRight" state="frozen"/>
      <selection pane="topRight" activeCell="C1" sqref="C1"/>
      <selection pane="bottomLeft" activeCell="A3" sqref="A3"/>
      <selection pane="bottomRight" activeCell="W2" sqref="W2"/>
    </sheetView>
  </sheetViews>
  <sheetFormatPr defaultRowHeight="13.2" x14ac:dyDescent="0.25"/>
  <cols>
    <col min="1" max="1" width="5" style="1" bestFit="1" customWidth="1"/>
    <col min="2" max="2" width="18.77734375" style="1" bestFit="1" customWidth="1"/>
    <col min="3" max="27" width="8.88671875" style="1"/>
    <col min="28" max="28" width="9.6640625" style="1" bestFit="1" customWidth="1"/>
    <col min="29" max="16384" width="8.88671875" style="1"/>
  </cols>
  <sheetData>
    <row r="1" spans="1:28" ht="14.4" x14ac:dyDescent="0.3">
      <c r="A1" s="10" t="s">
        <v>56</v>
      </c>
    </row>
    <row r="2" spans="1:28" x14ac:dyDescent="0.25">
      <c r="C2" s="5" t="s">
        <v>10</v>
      </c>
      <c r="D2" s="5" t="s">
        <v>11</v>
      </c>
      <c r="E2" s="5" t="s">
        <v>12</v>
      </c>
      <c r="F2" s="5" t="s">
        <v>13</v>
      </c>
      <c r="G2" s="5" t="s">
        <v>14</v>
      </c>
      <c r="H2" s="5" t="s">
        <v>15</v>
      </c>
      <c r="I2" s="5" t="s">
        <v>16</v>
      </c>
      <c r="J2" s="5" t="s">
        <v>17</v>
      </c>
      <c r="K2" s="5" t="s">
        <v>18</v>
      </c>
      <c r="L2" s="5" t="s">
        <v>19</v>
      </c>
      <c r="M2" s="5" t="s">
        <v>20</v>
      </c>
      <c r="N2" s="5" t="s">
        <v>21</v>
      </c>
      <c r="Q2" s="5">
        <v>2022</v>
      </c>
      <c r="R2" s="5">
        <f>+Q2+1</f>
        <v>2023</v>
      </c>
      <c r="S2" s="5">
        <f t="shared" ref="S2:Y2" si="0">+R2+1</f>
        <v>2024</v>
      </c>
      <c r="T2" s="5">
        <f t="shared" si="0"/>
        <v>2025</v>
      </c>
      <c r="U2" s="5">
        <f t="shared" si="0"/>
        <v>2026</v>
      </c>
      <c r="V2" s="5">
        <f t="shared" si="0"/>
        <v>2027</v>
      </c>
      <c r="W2" s="5">
        <f t="shared" si="0"/>
        <v>2028</v>
      </c>
      <c r="X2" s="5">
        <f t="shared" si="0"/>
        <v>2029</v>
      </c>
      <c r="Y2" s="5">
        <f t="shared" si="0"/>
        <v>2030</v>
      </c>
    </row>
    <row r="3" spans="1:28" x14ac:dyDescent="0.25">
      <c r="B3" s="1" t="s">
        <v>8</v>
      </c>
      <c r="C3" s="3"/>
      <c r="D3" s="3"/>
      <c r="E3" s="3">
        <v>139.90600000000001</v>
      </c>
      <c r="F3" s="3">
        <v>148.34800000000001</v>
      </c>
      <c r="G3" s="3">
        <v>157.66499999999999</v>
      </c>
      <c r="H3" s="3">
        <v>163.452</v>
      </c>
      <c r="I3" s="3">
        <v>170.464</v>
      </c>
      <c r="J3" s="3">
        <v>176.96</v>
      </c>
      <c r="K3" s="3">
        <v>177.363</v>
      </c>
      <c r="L3" s="3">
        <v>177.85900000000001</v>
      </c>
      <c r="M3" s="3"/>
      <c r="N3" s="3"/>
      <c r="Q3" s="3">
        <v>427.71300000000002</v>
      </c>
      <c r="R3" s="3">
        <v>548.649</v>
      </c>
      <c r="S3" s="3">
        <v>668.54100000000005</v>
      </c>
      <c r="T3" s="3">
        <f>+S3*1.065</f>
        <v>711.99616500000002</v>
      </c>
      <c r="U3" s="3">
        <f t="shared" ref="T3:V3" si="1">+T3*1.05</f>
        <v>747.59597325000004</v>
      </c>
      <c r="V3" s="3">
        <f>+U3*1.05</f>
        <v>784.97577191250002</v>
      </c>
      <c r="W3" s="3">
        <f t="shared" ref="W3:Y3" si="2">+V3*1.03</f>
        <v>808.52504506987509</v>
      </c>
      <c r="X3" s="3">
        <f t="shared" si="2"/>
        <v>832.78079642197133</v>
      </c>
      <c r="Y3" s="3">
        <f t="shared" si="2"/>
        <v>857.76422031463051</v>
      </c>
      <c r="AA3" s="1" t="s">
        <v>59</v>
      </c>
      <c r="AB3" s="8">
        <v>0.1</v>
      </c>
    </row>
    <row r="4" spans="1:28" x14ac:dyDescent="0.25">
      <c r="B4" s="1" t="s">
        <v>9</v>
      </c>
      <c r="C4" s="3"/>
      <c r="D4" s="3"/>
      <c r="E4" s="3">
        <v>17.344999999999999</v>
      </c>
      <c r="F4" s="3">
        <v>16.983000000000001</v>
      </c>
      <c r="G4" s="3">
        <v>15.698</v>
      </c>
      <c r="H4" s="3">
        <v>15.013</v>
      </c>
      <c r="I4" s="3">
        <v>15.861000000000001</v>
      </c>
      <c r="J4" s="3">
        <v>17.247</v>
      </c>
      <c r="K4" s="3">
        <v>18.594999999999999</v>
      </c>
      <c r="L4" s="3">
        <v>19.349</v>
      </c>
      <c r="M4" s="3"/>
      <c r="N4" s="3"/>
      <c r="Q4" s="3">
        <v>64.680999999999997</v>
      </c>
      <c r="R4" s="3">
        <v>69.540999999999997</v>
      </c>
      <c r="S4" s="3">
        <v>63.819000000000003</v>
      </c>
      <c r="T4" s="3">
        <f>+S4*1.05</f>
        <v>67.009950000000003</v>
      </c>
      <c r="U4" s="3">
        <f>+T4*1.01</f>
        <v>67.68004950000001</v>
      </c>
      <c r="V4" s="3">
        <f t="shared" ref="V4:Y4" si="3">+U4*1.01</f>
        <v>68.356849995000005</v>
      </c>
      <c r="W4" s="3">
        <f t="shared" si="3"/>
        <v>69.040418494950003</v>
      </c>
      <c r="X4" s="3">
        <f t="shared" si="3"/>
        <v>69.730822679899504</v>
      </c>
      <c r="Y4" s="3">
        <f t="shared" si="3"/>
        <v>70.428130906698499</v>
      </c>
      <c r="AA4" s="1" t="s">
        <v>60</v>
      </c>
      <c r="AB4" s="7">
        <v>0</v>
      </c>
    </row>
    <row r="5" spans="1:28" x14ac:dyDescent="0.25">
      <c r="C5" s="3"/>
      <c r="D5" s="3"/>
      <c r="E5" s="3"/>
      <c r="F5" s="3"/>
      <c r="G5" s="3"/>
      <c r="H5" s="3"/>
      <c r="I5" s="3"/>
      <c r="J5" s="3"/>
      <c r="K5" s="3"/>
      <c r="L5" s="3"/>
      <c r="M5" s="3"/>
      <c r="N5" s="3"/>
      <c r="Q5" s="3"/>
      <c r="R5" s="3"/>
      <c r="S5" s="3"/>
      <c r="T5" s="3"/>
      <c r="U5" s="3"/>
      <c r="V5" s="3"/>
      <c r="W5" s="3"/>
      <c r="X5" s="3"/>
      <c r="Y5" s="3"/>
      <c r="AA5" s="1" t="s">
        <v>61</v>
      </c>
      <c r="AB5" s="7">
        <v>0.04</v>
      </c>
    </row>
    <row r="6" spans="1:28" x14ac:dyDescent="0.25">
      <c r="B6" s="1" t="s">
        <v>46</v>
      </c>
      <c r="C6" s="3"/>
      <c r="D6" s="3"/>
      <c r="E6" s="3">
        <v>104.932</v>
      </c>
      <c r="F6" s="3"/>
      <c r="G6" s="3">
        <v>105.642</v>
      </c>
      <c r="H6" s="3">
        <v>105.27500000000001</v>
      </c>
      <c r="I6" s="3">
        <v>110.096</v>
      </c>
      <c r="J6" s="3"/>
      <c r="K6" s="3">
        <v>115.268</v>
      </c>
      <c r="L6" s="3">
        <v>115.377</v>
      </c>
      <c r="M6" s="3"/>
      <c r="N6" s="3"/>
      <c r="Q6" s="3"/>
      <c r="R6" s="3"/>
      <c r="S6" s="3"/>
      <c r="T6" s="3"/>
      <c r="U6" s="3"/>
      <c r="V6" s="3"/>
      <c r="W6" s="3"/>
      <c r="X6" s="3"/>
      <c r="Y6" s="3"/>
      <c r="AA6" s="1" t="s">
        <v>62</v>
      </c>
      <c r="AB6" s="12">
        <f>+NPV(AB3,T23:BH23)+L42</f>
        <v>2576.5069323073999</v>
      </c>
    </row>
    <row r="7" spans="1:28" x14ac:dyDescent="0.25">
      <c r="B7" s="1" t="s">
        <v>47</v>
      </c>
      <c r="C7" s="3"/>
      <c r="D7" s="3"/>
      <c r="E7" s="3">
        <v>43.646999999999998</v>
      </c>
      <c r="F7" s="3"/>
      <c r="G7" s="3">
        <v>54.22</v>
      </c>
      <c r="H7" s="3">
        <v>55.807000000000002</v>
      </c>
      <c r="I7" s="3">
        <v>62.308999999999997</v>
      </c>
      <c r="J7" s="3"/>
      <c r="K7" s="3">
        <v>65.911000000000001</v>
      </c>
      <c r="L7" s="3">
        <v>67.194000000000003</v>
      </c>
      <c r="M7" s="3"/>
      <c r="N7" s="3"/>
      <c r="Q7" s="3"/>
      <c r="R7" s="3"/>
      <c r="S7" s="3"/>
      <c r="T7" s="3"/>
      <c r="U7" s="3"/>
      <c r="V7" s="3"/>
      <c r="W7" s="3"/>
      <c r="X7" s="3"/>
      <c r="Y7" s="3"/>
      <c r="AA7" s="1" t="s">
        <v>1</v>
      </c>
      <c r="AB7" s="13">
        <f>+AB6/main!J4</f>
        <v>10.164999301461076</v>
      </c>
    </row>
    <row r="8" spans="1:28" x14ac:dyDescent="0.25">
      <c r="B8" s="1" t="s">
        <v>48</v>
      </c>
      <c r="C8" s="3"/>
      <c r="D8" s="3"/>
      <c r="E8" s="3">
        <v>8.6720000000000006</v>
      </c>
      <c r="F8" s="3"/>
      <c r="G8" s="3">
        <v>13.500999999999999</v>
      </c>
      <c r="H8" s="3">
        <v>17.382999999999999</v>
      </c>
      <c r="I8" s="3">
        <v>13.92</v>
      </c>
      <c r="J8" s="3"/>
      <c r="K8" s="3">
        <v>14.779</v>
      </c>
      <c r="L8" s="3">
        <v>14.637</v>
      </c>
      <c r="M8" s="3"/>
      <c r="N8" s="3"/>
      <c r="Q8" s="3"/>
      <c r="R8" s="3"/>
      <c r="S8" s="3"/>
      <c r="T8" s="3"/>
      <c r="U8" s="3"/>
      <c r="V8" s="3"/>
      <c r="W8" s="3"/>
      <c r="X8" s="3"/>
      <c r="Y8" s="3"/>
    </row>
    <row r="9" spans="1:28" x14ac:dyDescent="0.25">
      <c r="C9" s="3"/>
      <c r="D9" s="3"/>
      <c r="E9" s="3"/>
      <c r="F9" s="3"/>
      <c r="G9" s="3"/>
      <c r="H9" s="3"/>
      <c r="I9" s="3"/>
      <c r="J9" s="3"/>
      <c r="K9" s="3"/>
      <c r="L9" s="3"/>
      <c r="M9" s="3"/>
      <c r="N9" s="3"/>
      <c r="Q9" s="3"/>
      <c r="R9" s="3"/>
      <c r="S9" s="3"/>
      <c r="T9" s="3"/>
      <c r="U9" s="3"/>
      <c r="V9" s="3"/>
      <c r="W9" s="3"/>
      <c r="X9" s="3"/>
      <c r="Y9" s="3"/>
    </row>
    <row r="10" spans="1:28" s="5" customFormat="1" x14ac:dyDescent="0.25">
      <c r="A10" s="1"/>
      <c r="B10" s="5" t="s">
        <v>22</v>
      </c>
      <c r="C10" s="9">
        <f t="shared" ref="C10:K10" si="4">+C3+C4</f>
        <v>0</v>
      </c>
      <c r="D10" s="9">
        <f t="shared" si="4"/>
        <v>0</v>
      </c>
      <c r="E10" s="9">
        <f t="shared" si="4"/>
        <v>157.251</v>
      </c>
      <c r="F10" s="9">
        <f t="shared" si="4"/>
        <v>165.33100000000002</v>
      </c>
      <c r="G10" s="9">
        <f t="shared" si="4"/>
        <v>173.363</v>
      </c>
      <c r="H10" s="9">
        <f t="shared" si="4"/>
        <v>178.465</v>
      </c>
      <c r="I10" s="9">
        <f t="shared" si="4"/>
        <v>186.32499999999999</v>
      </c>
      <c r="J10" s="9">
        <f t="shared" si="4"/>
        <v>194.20699999999999</v>
      </c>
      <c r="K10" s="9">
        <f t="shared" si="4"/>
        <v>195.958</v>
      </c>
      <c r="L10" s="9">
        <f>+L3+L4</f>
        <v>197.208</v>
      </c>
      <c r="M10" s="9"/>
      <c r="N10" s="9"/>
      <c r="Q10" s="9">
        <f t="shared" ref="Q10:Y10" si="5">+Q3+Q4</f>
        <v>492.39400000000001</v>
      </c>
      <c r="R10" s="9">
        <f t="shared" si="5"/>
        <v>618.19000000000005</v>
      </c>
      <c r="S10" s="9">
        <f t="shared" si="5"/>
        <v>732.36</v>
      </c>
      <c r="T10" s="9">
        <f t="shared" si="5"/>
        <v>779.00611500000002</v>
      </c>
      <c r="U10" s="9">
        <f t="shared" si="5"/>
        <v>815.27602275000004</v>
      </c>
      <c r="V10" s="9">
        <f t="shared" si="5"/>
        <v>853.33262190749997</v>
      </c>
      <c r="W10" s="9">
        <f t="shared" si="5"/>
        <v>877.56546356482511</v>
      </c>
      <c r="X10" s="9">
        <f t="shared" si="5"/>
        <v>902.51161910187079</v>
      </c>
      <c r="Y10" s="9">
        <f t="shared" si="5"/>
        <v>928.19235122132898</v>
      </c>
    </row>
    <row r="11" spans="1:28" x14ac:dyDescent="0.25">
      <c r="B11" s="1" t="s">
        <v>23</v>
      </c>
      <c r="C11" s="3"/>
      <c r="D11" s="3"/>
      <c r="E11" s="3">
        <v>26.248999999999999</v>
      </c>
      <c r="F11" s="3">
        <v>25.516999999999999</v>
      </c>
      <c r="G11" s="3">
        <v>27.475999999999999</v>
      </c>
      <c r="H11" s="3">
        <v>27.783000000000001</v>
      </c>
      <c r="I11" s="3">
        <v>29.876999999999999</v>
      </c>
      <c r="J11" s="3">
        <v>30.896000000000001</v>
      </c>
      <c r="K11" s="3">
        <v>32.57</v>
      </c>
      <c r="L11" s="3">
        <v>34.305999999999997</v>
      </c>
      <c r="M11" s="3"/>
      <c r="N11" s="3"/>
      <c r="Q11" s="3">
        <v>89.896000000000001</v>
      </c>
      <c r="R11" s="3">
        <v>102.276</v>
      </c>
      <c r="S11" s="3">
        <v>116.032</v>
      </c>
      <c r="T11" s="3">
        <f>+T10*0.19</f>
        <v>148.01116185000001</v>
      </c>
      <c r="U11" s="3">
        <f t="shared" ref="U11:Y11" si="6">+U10*0.19</f>
        <v>154.9024443225</v>
      </c>
      <c r="V11" s="3">
        <f t="shared" si="6"/>
        <v>162.133198162425</v>
      </c>
      <c r="W11" s="3">
        <f t="shared" si="6"/>
        <v>166.73743807731677</v>
      </c>
      <c r="X11" s="3">
        <f t="shared" si="6"/>
        <v>171.47720762935546</v>
      </c>
      <c r="Y11" s="3">
        <f t="shared" si="6"/>
        <v>176.35654673205252</v>
      </c>
    </row>
    <row r="12" spans="1:28" x14ac:dyDescent="0.25">
      <c r="B12" s="1" t="s">
        <v>24</v>
      </c>
      <c r="C12" s="3"/>
      <c r="D12" s="3"/>
      <c r="E12" s="3">
        <v>14.271000000000001</v>
      </c>
      <c r="F12" s="3">
        <v>13.808</v>
      </c>
      <c r="G12" s="3">
        <v>14.461</v>
      </c>
      <c r="H12" s="3">
        <v>15.683999999999999</v>
      </c>
      <c r="I12" s="3">
        <v>16.571000000000002</v>
      </c>
      <c r="J12" s="3">
        <v>16.652999999999999</v>
      </c>
      <c r="K12" s="3">
        <v>18.555</v>
      </c>
      <c r="L12" s="3">
        <v>20.010000000000002</v>
      </c>
      <c r="M12" s="3"/>
      <c r="N12" s="3"/>
      <c r="Q12" s="3">
        <v>57.655000000000001</v>
      </c>
      <c r="R12" s="3">
        <v>61.448999999999998</v>
      </c>
      <c r="S12" s="3">
        <v>63.369</v>
      </c>
      <c r="T12" s="3">
        <f>+T4*0.99</f>
        <v>66.339850499999997</v>
      </c>
      <c r="U12" s="3">
        <f t="shared" ref="U12:Y12" si="7">+U4*0.99</f>
        <v>67.003249005000015</v>
      </c>
      <c r="V12" s="3">
        <f t="shared" si="7"/>
        <v>67.673281495050006</v>
      </c>
      <c r="W12" s="3">
        <f t="shared" si="7"/>
        <v>68.350014310000503</v>
      </c>
      <c r="X12" s="3">
        <f t="shared" si="7"/>
        <v>69.033514453100508</v>
      </c>
      <c r="Y12" s="3">
        <f t="shared" si="7"/>
        <v>69.723849597631514</v>
      </c>
    </row>
    <row r="13" spans="1:28" x14ac:dyDescent="0.25">
      <c r="B13" s="1" t="s">
        <v>25</v>
      </c>
      <c r="C13" s="3">
        <f t="shared" ref="C13:K13" si="8">+C10-C11-C12</f>
        <v>0</v>
      </c>
      <c r="D13" s="3">
        <f t="shared" si="8"/>
        <v>0</v>
      </c>
      <c r="E13" s="3">
        <f t="shared" si="8"/>
        <v>116.73100000000001</v>
      </c>
      <c r="F13" s="3">
        <f t="shared" si="8"/>
        <v>126.00600000000003</v>
      </c>
      <c r="G13" s="3">
        <f t="shared" si="8"/>
        <v>131.42599999999999</v>
      </c>
      <c r="H13" s="3">
        <f t="shared" si="8"/>
        <v>134.99800000000002</v>
      </c>
      <c r="I13" s="3">
        <f t="shared" si="8"/>
        <v>139.87699999999998</v>
      </c>
      <c r="J13" s="3">
        <f t="shared" si="8"/>
        <v>146.65799999999999</v>
      </c>
      <c r="K13" s="3">
        <f t="shared" si="8"/>
        <v>144.833</v>
      </c>
      <c r="L13" s="3">
        <f>+L10-L11-L12</f>
        <v>142.892</v>
      </c>
      <c r="M13" s="3"/>
      <c r="N13" s="3"/>
      <c r="Q13" s="3">
        <f t="shared" ref="Q13:Y13" si="9">+Q10-Q11-Q12</f>
        <v>344.84299999999996</v>
      </c>
      <c r="R13" s="3">
        <f t="shared" si="9"/>
        <v>454.46500000000009</v>
      </c>
      <c r="S13" s="3">
        <f t="shared" si="9"/>
        <v>552.95899999999995</v>
      </c>
      <c r="T13" s="3">
        <f t="shared" si="9"/>
        <v>564.65510265</v>
      </c>
      <c r="U13" s="3">
        <f t="shared" si="9"/>
        <v>593.37032942249994</v>
      </c>
      <c r="V13" s="3">
        <f t="shared" si="9"/>
        <v>623.52614225002492</v>
      </c>
      <c r="W13" s="3">
        <f t="shared" si="9"/>
        <v>642.47801117750782</v>
      </c>
      <c r="X13" s="3">
        <f t="shared" si="9"/>
        <v>662.00089701941488</v>
      </c>
      <c r="Y13" s="3">
        <f t="shared" si="9"/>
        <v>682.11195489164493</v>
      </c>
    </row>
    <row r="14" spans="1:28" x14ac:dyDescent="0.25">
      <c r="B14" s="1" t="s">
        <v>26</v>
      </c>
      <c r="C14" s="3"/>
      <c r="D14" s="3"/>
      <c r="E14" s="3">
        <v>19.207999999999998</v>
      </c>
      <c r="F14" s="3">
        <v>20.126999999999999</v>
      </c>
      <c r="G14" s="3">
        <v>20.760999999999999</v>
      </c>
      <c r="H14" s="3">
        <v>24.323</v>
      </c>
      <c r="I14" s="3">
        <v>23.146000000000001</v>
      </c>
      <c r="J14" s="3">
        <v>23.062000000000001</v>
      </c>
      <c r="K14" s="3">
        <v>22.539000000000001</v>
      </c>
      <c r="L14" s="3">
        <v>23.622</v>
      </c>
      <c r="M14" s="3"/>
      <c r="N14" s="3"/>
      <c r="Q14" s="3">
        <v>60.591000000000001</v>
      </c>
      <c r="R14" s="3">
        <v>76.658000000000001</v>
      </c>
      <c r="S14" s="3">
        <v>91.292000000000002</v>
      </c>
      <c r="T14" s="3">
        <f>+S14*1.01</f>
        <v>92.204920000000001</v>
      </c>
      <c r="U14" s="3">
        <f t="shared" ref="U14:Y14" si="10">+T14*1.01</f>
        <v>93.126969200000005</v>
      </c>
      <c r="V14" s="3">
        <f t="shared" si="10"/>
        <v>94.058238892000006</v>
      </c>
      <c r="W14" s="3">
        <f t="shared" si="10"/>
        <v>94.998821280920012</v>
      </c>
      <c r="X14" s="3">
        <f t="shared" si="10"/>
        <v>95.948809493729215</v>
      </c>
      <c r="Y14" s="3">
        <f t="shared" si="10"/>
        <v>96.908297588666514</v>
      </c>
    </row>
    <row r="15" spans="1:28" x14ac:dyDescent="0.25">
      <c r="B15" s="1" t="s">
        <v>27</v>
      </c>
      <c r="C15" s="3"/>
      <c r="D15" s="3"/>
      <c r="E15" s="3">
        <v>79.537999999999997</v>
      </c>
      <c r="F15" s="3">
        <v>83.301000000000002</v>
      </c>
      <c r="G15" s="3">
        <v>89.201999999999998</v>
      </c>
      <c r="H15" s="3">
        <v>80.117999999999995</v>
      </c>
      <c r="I15" s="3">
        <v>75.445999999999998</v>
      </c>
      <c r="J15" s="3">
        <v>77.082999999999998</v>
      </c>
      <c r="K15" s="3">
        <v>87.483999999999995</v>
      </c>
      <c r="L15" s="3">
        <v>80.497</v>
      </c>
      <c r="M15" s="3"/>
      <c r="N15" s="3"/>
      <c r="Q15" s="3">
        <v>286.96300000000002</v>
      </c>
      <c r="R15" s="3">
        <v>336.71899999999999</v>
      </c>
      <c r="S15" s="3">
        <v>321.84899999999999</v>
      </c>
      <c r="T15" s="3">
        <f>+S15*0.98</f>
        <v>315.41201999999998</v>
      </c>
      <c r="U15" s="3">
        <f>+T15*0.9</f>
        <v>283.87081799999999</v>
      </c>
      <c r="V15" s="3">
        <f t="shared" ref="V15:Y15" si="11">+U15*0.9</f>
        <v>255.48373619999998</v>
      </c>
      <c r="W15" s="3">
        <f t="shared" si="11"/>
        <v>229.93536257999997</v>
      </c>
      <c r="X15" s="3">
        <f t="shared" si="11"/>
        <v>206.94182632199997</v>
      </c>
      <c r="Y15" s="3">
        <f t="shared" si="11"/>
        <v>186.24764368979999</v>
      </c>
    </row>
    <row r="16" spans="1:28" x14ac:dyDescent="0.25">
      <c r="B16" s="1" t="s">
        <v>28</v>
      </c>
      <c r="C16" s="3"/>
      <c r="D16" s="3"/>
      <c r="E16" s="3">
        <v>22.588000000000001</v>
      </c>
      <c r="F16" s="3">
        <v>24.396000000000001</v>
      </c>
      <c r="G16" s="3">
        <v>24.655999999999999</v>
      </c>
      <c r="H16" s="3">
        <v>25.068000000000001</v>
      </c>
      <c r="I16" s="3">
        <v>28.096</v>
      </c>
      <c r="J16" s="3">
        <v>28.053000000000001</v>
      </c>
      <c r="K16" s="3">
        <v>29.100999999999999</v>
      </c>
      <c r="L16" s="3">
        <v>38.86</v>
      </c>
      <c r="M16" s="3"/>
      <c r="N16" s="3"/>
      <c r="Q16" s="3">
        <v>84.759</v>
      </c>
      <c r="R16" s="3">
        <v>92.311999999999998</v>
      </c>
      <c r="S16" s="3">
        <v>105.873</v>
      </c>
      <c r="T16" s="3">
        <f>+S16*1.015</f>
        <v>107.461095</v>
      </c>
      <c r="U16" s="3">
        <f t="shared" ref="U16:Y16" si="12">+T16*1.015</f>
        <v>109.07301142499999</v>
      </c>
      <c r="V16" s="3">
        <f t="shared" si="12"/>
        <v>110.70910659637498</v>
      </c>
      <c r="W16" s="3">
        <f t="shared" si="12"/>
        <v>112.36974319532059</v>
      </c>
      <c r="X16" s="3">
        <f t="shared" si="12"/>
        <v>114.05528934325039</v>
      </c>
      <c r="Y16" s="3">
        <f t="shared" si="12"/>
        <v>115.76611868339914</v>
      </c>
    </row>
    <row r="17" spans="2:60" x14ac:dyDescent="0.25">
      <c r="B17" s="1" t="s">
        <v>58</v>
      </c>
      <c r="C17" s="3"/>
      <c r="D17" s="3"/>
      <c r="E17" s="3"/>
      <c r="F17" s="3"/>
      <c r="G17" s="3"/>
      <c r="H17" s="3"/>
      <c r="I17" s="3"/>
      <c r="J17" s="3"/>
      <c r="K17" s="3"/>
      <c r="L17" s="3"/>
      <c r="M17" s="3"/>
      <c r="N17" s="3"/>
      <c r="Q17" s="3">
        <v>12</v>
      </c>
      <c r="R17" s="3"/>
      <c r="S17" s="3"/>
      <c r="T17" s="3"/>
      <c r="U17" s="3"/>
      <c r="V17" s="3"/>
      <c r="W17" s="3"/>
      <c r="X17" s="3"/>
      <c r="Y17" s="3"/>
    </row>
    <row r="18" spans="2:60" x14ac:dyDescent="0.25">
      <c r="B18" s="1" t="s">
        <v>29</v>
      </c>
      <c r="C18" s="3">
        <f t="shared" ref="C18:K18" si="13">+C14+C15+C16</f>
        <v>0</v>
      </c>
      <c r="D18" s="3">
        <f t="shared" si="13"/>
        <v>0</v>
      </c>
      <c r="E18" s="3">
        <f t="shared" si="13"/>
        <v>121.334</v>
      </c>
      <c r="F18" s="3">
        <f t="shared" si="13"/>
        <v>127.824</v>
      </c>
      <c r="G18" s="3">
        <f t="shared" si="13"/>
        <v>134.619</v>
      </c>
      <c r="H18" s="3">
        <f t="shared" si="13"/>
        <v>129.50900000000001</v>
      </c>
      <c r="I18" s="3">
        <f t="shared" si="13"/>
        <v>126.688</v>
      </c>
      <c r="J18" s="3">
        <f t="shared" si="13"/>
        <v>128.19800000000001</v>
      </c>
      <c r="K18" s="3">
        <f t="shared" si="13"/>
        <v>139.124</v>
      </c>
      <c r="L18" s="3">
        <f>+L14+L15+L16</f>
        <v>142.97899999999998</v>
      </c>
      <c r="M18" s="3"/>
      <c r="N18" s="3"/>
      <c r="Q18" s="3">
        <f>+Q14+Q15+Q16+Q17</f>
        <v>444.31300000000005</v>
      </c>
      <c r="R18" s="3">
        <f t="shared" ref="R18:Y18" si="14">+R14+R15+R16</f>
        <v>505.68900000000002</v>
      </c>
      <c r="S18" s="3">
        <f t="shared" si="14"/>
        <v>519.01400000000001</v>
      </c>
      <c r="T18" s="3">
        <f t="shared" si="14"/>
        <v>515.078035</v>
      </c>
      <c r="U18" s="3">
        <f t="shared" si="14"/>
        <v>486.07079862500001</v>
      </c>
      <c r="V18" s="3">
        <f t="shared" si="14"/>
        <v>460.25108168837494</v>
      </c>
      <c r="W18" s="3">
        <f t="shared" si="14"/>
        <v>437.30392705624058</v>
      </c>
      <c r="X18" s="3">
        <f t="shared" si="14"/>
        <v>416.94592515897955</v>
      </c>
      <c r="Y18" s="3">
        <f t="shared" si="14"/>
        <v>398.92205996186567</v>
      </c>
    </row>
    <row r="19" spans="2:60" x14ac:dyDescent="0.25">
      <c r="B19" s="1" t="s">
        <v>30</v>
      </c>
      <c r="C19" s="3">
        <f t="shared" ref="C19:K19" si="15">+C13-C18</f>
        <v>0</v>
      </c>
      <c r="D19" s="3">
        <f t="shared" si="15"/>
        <v>0</v>
      </c>
      <c r="E19" s="3">
        <f t="shared" si="15"/>
        <v>-4.6029999999999944</v>
      </c>
      <c r="F19" s="3">
        <f t="shared" si="15"/>
        <v>-1.8179999999999694</v>
      </c>
      <c r="G19" s="3">
        <f t="shared" si="15"/>
        <v>-3.1930000000000121</v>
      </c>
      <c r="H19" s="3">
        <f t="shared" si="15"/>
        <v>5.4890000000000043</v>
      </c>
      <c r="I19" s="3">
        <f t="shared" si="15"/>
        <v>13.188999999999979</v>
      </c>
      <c r="J19" s="3">
        <f t="shared" si="15"/>
        <v>18.45999999999998</v>
      </c>
      <c r="K19" s="3">
        <f t="shared" si="15"/>
        <v>5.7090000000000032</v>
      </c>
      <c r="L19" s="3">
        <f>+L13-L18</f>
        <v>-8.6999999999989086E-2</v>
      </c>
      <c r="M19" s="3"/>
      <c r="N19" s="3"/>
      <c r="Q19" s="3">
        <f t="shared" ref="Q19:Y19" si="16">+Q13-Q18</f>
        <v>-99.470000000000084</v>
      </c>
      <c r="R19" s="3">
        <f t="shared" si="16"/>
        <v>-51.223999999999933</v>
      </c>
      <c r="S19" s="3">
        <f t="shared" si="16"/>
        <v>33.944999999999936</v>
      </c>
      <c r="T19" s="3">
        <f t="shared" si="16"/>
        <v>49.577067650000004</v>
      </c>
      <c r="U19" s="3">
        <f t="shared" si="16"/>
        <v>107.29953079749993</v>
      </c>
      <c r="V19" s="3">
        <f t="shared" si="16"/>
        <v>163.27506056164998</v>
      </c>
      <c r="W19" s="3">
        <f t="shared" si="16"/>
        <v>205.17408412126724</v>
      </c>
      <c r="X19" s="3">
        <f t="shared" si="16"/>
        <v>245.05497186043533</v>
      </c>
      <c r="Y19" s="3">
        <f t="shared" si="16"/>
        <v>283.18989492977926</v>
      </c>
    </row>
    <row r="20" spans="2:60" x14ac:dyDescent="0.25">
      <c r="B20" s="1" t="s">
        <v>31</v>
      </c>
      <c r="C20" s="3"/>
      <c r="D20" s="3"/>
      <c r="E20" s="3">
        <v>1.093</v>
      </c>
      <c r="F20" s="3">
        <v>2.4529999999999998</v>
      </c>
      <c r="G20" s="3">
        <v>4.7590000000000003</v>
      </c>
      <c r="H20" s="3">
        <v>7.2370000000000001</v>
      </c>
      <c r="I20" s="3">
        <v>6.3280000000000003</v>
      </c>
      <c r="J20" s="3">
        <v>8.2530000000000001</v>
      </c>
      <c r="K20" s="3">
        <v>7.5</v>
      </c>
      <c r="L20" s="3">
        <v>6.4139999999999997</v>
      </c>
      <c r="M20" s="3"/>
      <c r="N20" s="3"/>
      <c r="Q20" s="3">
        <v>-5.0839999999999996</v>
      </c>
      <c r="R20" s="3">
        <v>3.7559999999999998</v>
      </c>
      <c r="S20" s="3">
        <v>26.577000000000002</v>
      </c>
      <c r="T20" s="3">
        <f>+L42*AB5</f>
        <v>18.738040000000002</v>
      </c>
      <c r="U20" s="3">
        <f>+T42*$AB$5</f>
        <v>20.924123444800003</v>
      </c>
      <c r="V20" s="3">
        <f t="shared" ref="V20:Y20" si="17">+U42*$AB$5</f>
        <v>25.027280380553599</v>
      </c>
      <c r="W20" s="3">
        <f t="shared" si="17"/>
        <v>31.052955290704112</v>
      </c>
      <c r="X20" s="3">
        <f t="shared" si="17"/>
        <v>38.612220551887198</v>
      </c>
      <c r="Y20" s="3">
        <f t="shared" si="17"/>
        <v>47.689570709081515</v>
      </c>
    </row>
    <row r="21" spans="2:60" x14ac:dyDescent="0.25">
      <c r="B21" s="1" t="s">
        <v>32</v>
      </c>
      <c r="C21" s="3">
        <f t="shared" ref="C21:K21" si="18">+C19+C20</f>
        <v>0</v>
      </c>
      <c r="D21" s="3">
        <f t="shared" si="18"/>
        <v>0</v>
      </c>
      <c r="E21" s="3">
        <f t="shared" si="18"/>
        <v>-3.5099999999999945</v>
      </c>
      <c r="F21" s="3">
        <f t="shared" si="18"/>
        <v>0.63500000000003043</v>
      </c>
      <c r="G21" s="3">
        <f t="shared" si="18"/>
        <v>1.5659999999999883</v>
      </c>
      <c r="H21" s="3">
        <f t="shared" si="18"/>
        <v>12.726000000000004</v>
      </c>
      <c r="I21" s="3">
        <f t="shared" si="18"/>
        <v>19.516999999999978</v>
      </c>
      <c r="J21" s="3">
        <f t="shared" si="18"/>
        <v>26.71299999999998</v>
      </c>
      <c r="K21" s="3">
        <f t="shared" si="18"/>
        <v>13.209000000000003</v>
      </c>
      <c r="L21" s="3">
        <f>+L19+L20</f>
        <v>6.3270000000000106</v>
      </c>
      <c r="M21" s="3"/>
      <c r="N21" s="3"/>
      <c r="Q21" s="3">
        <f t="shared" ref="Q21:Y21" si="19">+Q19+Q20</f>
        <v>-104.55400000000009</v>
      </c>
      <c r="R21" s="3">
        <f t="shared" si="19"/>
        <v>-47.467999999999932</v>
      </c>
      <c r="S21" s="3">
        <f t="shared" si="19"/>
        <v>60.521999999999935</v>
      </c>
      <c r="T21" s="3">
        <f t="shared" si="19"/>
        <v>68.315107650000002</v>
      </c>
      <c r="U21" s="3">
        <f t="shared" si="19"/>
        <v>128.22365424229992</v>
      </c>
      <c r="V21" s="3">
        <f t="shared" si="19"/>
        <v>188.30234094220359</v>
      </c>
      <c r="W21" s="3">
        <f t="shared" si="19"/>
        <v>236.22703941197136</v>
      </c>
      <c r="X21" s="3">
        <f t="shared" si="19"/>
        <v>283.66719241232255</v>
      </c>
      <c r="Y21" s="3">
        <f t="shared" si="19"/>
        <v>330.87946563886078</v>
      </c>
    </row>
    <row r="22" spans="2:60" x14ac:dyDescent="0.25">
      <c r="B22" s="1" t="s">
        <v>33</v>
      </c>
      <c r="C22" s="3"/>
      <c r="D22" s="3"/>
      <c r="E22" s="3">
        <v>2.35</v>
      </c>
      <c r="F22" s="3">
        <v>1.3009999999999999</v>
      </c>
      <c r="G22" s="3">
        <v>-1.242</v>
      </c>
      <c r="H22" s="3">
        <v>2.2410000000000001</v>
      </c>
      <c r="I22" s="3">
        <v>2.5499999999999998</v>
      </c>
      <c r="J22" s="3">
        <v>5.57</v>
      </c>
      <c r="K22" s="3">
        <v>2.5750000000000002</v>
      </c>
      <c r="L22" s="3">
        <v>4.4859999999999998</v>
      </c>
      <c r="M22" s="3"/>
      <c r="N22" s="3"/>
      <c r="Q22" s="3">
        <v>6.9160000000000004</v>
      </c>
      <c r="R22" s="3">
        <v>8.2739999999999991</v>
      </c>
      <c r="S22" s="3">
        <v>9.1189999999999998</v>
      </c>
      <c r="T22" s="3">
        <f>+T21*0.2</f>
        <v>13.663021530000002</v>
      </c>
      <c r="U22" s="3">
        <f t="shared" ref="U22:Y22" si="20">+U21*0.2</f>
        <v>25.644730848459986</v>
      </c>
      <c r="V22" s="3">
        <f t="shared" si="20"/>
        <v>37.660468188440717</v>
      </c>
      <c r="W22" s="3">
        <f t="shared" si="20"/>
        <v>47.245407882394275</v>
      </c>
      <c r="X22" s="3">
        <f t="shared" si="20"/>
        <v>56.733438482464514</v>
      </c>
      <c r="Y22" s="3">
        <f t="shared" si="20"/>
        <v>66.175893127772156</v>
      </c>
    </row>
    <row r="23" spans="2:60" x14ac:dyDescent="0.25">
      <c r="B23" s="5" t="s">
        <v>34</v>
      </c>
      <c r="C23" s="9">
        <f t="shared" ref="C23:G23" si="21">+C21-C22</f>
        <v>0</v>
      </c>
      <c r="D23" s="9">
        <f t="shared" si="21"/>
        <v>0</v>
      </c>
      <c r="E23" s="9">
        <f t="shared" si="21"/>
        <v>-5.8599999999999941</v>
      </c>
      <c r="F23" s="9">
        <f t="shared" si="21"/>
        <v>-0.66599999999996951</v>
      </c>
      <c r="G23" s="9">
        <f t="shared" si="21"/>
        <v>2.8079999999999883</v>
      </c>
      <c r="H23" s="9">
        <f>+H21-H22</f>
        <v>10.485000000000005</v>
      </c>
      <c r="I23" s="9">
        <f t="shared" ref="I23:L23" si="22">+I21-I22</f>
        <v>16.966999999999977</v>
      </c>
      <c r="J23" s="9">
        <f t="shared" si="22"/>
        <v>21.142999999999979</v>
      </c>
      <c r="K23" s="9">
        <f t="shared" si="22"/>
        <v>10.634000000000004</v>
      </c>
      <c r="L23" s="9">
        <f t="shared" si="22"/>
        <v>1.8410000000000108</v>
      </c>
      <c r="M23" s="9"/>
      <c r="N23" s="9"/>
      <c r="O23" s="5"/>
      <c r="P23" s="5"/>
      <c r="Q23" s="9">
        <f t="shared" ref="Q23:Y23" si="23">+Q21-Q22</f>
        <v>-111.47000000000008</v>
      </c>
      <c r="R23" s="9">
        <f t="shared" si="23"/>
        <v>-55.741999999999933</v>
      </c>
      <c r="S23" s="9">
        <f t="shared" si="23"/>
        <v>51.402999999999935</v>
      </c>
      <c r="T23" s="9">
        <f t="shared" si="23"/>
        <v>54.65208612</v>
      </c>
      <c r="U23" s="9">
        <f t="shared" si="23"/>
        <v>102.57892339383993</v>
      </c>
      <c r="V23" s="9">
        <f t="shared" si="23"/>
        <v>150.64187275376287</v>
      </c>
      <c r="W23" s="9">
        <f t="shared" si="23"/>
        <v>188.9816315295771</v>
      </c>
      <c r="X23" s="9">
        <f t="shared" si="23"/>
        <v>226.93375392985803</v>
      </c>
      <c r="Y23" s="9">
        <f t="shared" si="23"/>
        <v>264.70357251108862</v>
      </c>
      <c r="Z23" s="9">
        <f>+Y23*(1+$AB$4)</f>
        <v>264.70357251108862</v>
      </c>
      <c r="AA23" s="9">
        <f t="shared" ref="AA23:BH23" si="24">+Z23*(1+$AB$4)</f>
        <v>264.70357251108862</v>
      </c>
      <c r="AB23" s="9">
        <f t="shared" si="24"/>
        <v>264.70357251108862</v>
      </c>
      <c r="AC23" s="9">
        <f t="shared" si="24"/>
        <v>264.70357251108862</v>
      </c>
      <c r="AD23" s="9">
        <f t="shared" si="24"/>
        <v>264.70357251108862</v>
      </c>
      <c r="AE23" s="9">
        <f t="shared" si="24"/>
        <v>264.70357251108862</v>
      </c>
      <c r="AF23" s="9">
        <f t="shared" si="24"/>
        <v>264.70357251108862</v>
      </c>
      <c r="AG23" s="9">
        <f t="shared" si="24"/>
        <v>264.70357251108862</v>
      </c>
      <c r="AH23" s="9">
        <f t="shared" si="24"/>
        <v>264.70357251108862</v>
      </c>
      <c r="AI23" s="9">
        <f t="shared" si="24"/>
        <v>264.70357251108862</v>
      </c>
      <c r="AJ23" s="9">
        <f t="shared" si="24"/>
        <v>264.70357251108862</v>
      </c>
      <c r="AK23" s="9">
        <f t="shared" si="24"/>
        <v>264.70357251108862</v>
      </c>
      <c r="AL23" s="9">
        <f t="shared" si="24"/>
        <v>264.70357251108862</v>
      </c>
      <c r="AM23" s="9">
        <f t="shared" si="24"/>
        <v>264.70357251108862</v>
      </c>
      <c r="AN23" s="9">
        <f t="shared" si="24"/>
        <v>264.70357251108862</v>
      </c>
      <c r="AO23" s="9">
        <f t="shared" si="24"/>
        <v>264.70357251108862</v>
      </c>
      <c r="AP23" s="9">
        <f t="shared" si="24"/>
        <v>264.70357251108862</v>
      </c>
      <c r="AQ23" s="9">
        <f t="shared" si="24"/>
        <v>264.70357251108862</v>
      </c>
      <c r="AR23" s="9">
        <f t="shared" si="24"/>
        <v>264.70357251108862</v>
      </c>
      <c r="AS23" s="9">
        <f t="shared" si="24"/>
        <v>264.70357251108862</v>
      </c>
      <c r="AT23" s="9">
        <f t="shared" si="24"/>
        <v>264.70357251108862</v>
      </c>
      <c r="AU23" s="9">
        <f t="shared" si="24"/>
        <v>264.70357251108862</v>
      </c>
      <c r="AV23" s="9">
        <f t="shared" si="24"/>
        <v>264.70357251108862</v>
      </c>
      <c r="AW23" s="9">
        <f t="shared" si="24"/>
        <v>264.70357251108862</v>
      </c>
      <c r="AX23" s="9">
        <f t="shared" si="24"/>
        <v>264.70357251108862</v>
      </c>
      <c r="AY23" s="9">
        <f t="shared" si="24"/>
        <v>264.70357251108862</v>
      </c>
      <c r="AZ23" s="9">
        <f t="shared" si="24"/>
        <v>264.70357251108862</v>
      </c>
      <c r="BA23" s="9">
        <f t="shared" si="24"/>
        <v>264.70357251108862</v>
      </c>
      <c r="BB23" s="9">
        <f t="shared" si="24"/>
        <v>264.70357251108862</v>
      </c>
      <c r="BC23" s="9">
        <f t="shared" si="24"/>
        <v>264.70357251108862</v>
      </c>
      <c r="BD23" s="9">
        <f t="shared" si="24"/>
        <v>264.70357251108862</v>
      </c>
      <c r="BE23" s="9">
        <f t="shared" si="24"/>
        <v>264.70357251108862</v>
      </c>
      <c r="BF23" s="9">
        <f t="shared" si="24"/>
        <v>264.70357251108862</v>
      </c>
      <c r="BG23" s="9">
        <f t="shared" si="24"/>
        <v>264.70357251108862</v>
      </c>
      <c r="BH23" s="9">
        <f t="shared" si="24"/>
        <v>264.70357251108862</v>
      </c>
    </row>
    <row r="24" spans="2:60" x14ac:dyDescent="0.25">
      <c r="B24" s="1" t="s">
        <v>35</v>
      </c>
      <c r="C24" s="3"/>
      <c r="D24" s="3"/>
      <c r="E24" s="3">
        <v>260.28500000000003</v>
      </c>
      <c r="F24" s="3">
        <v>262.08699999999999</v>
      </c>
      <c r="G24" s="3">
        <v>281.34399999999999</v>
      </c>
      <c r="H24" s="3">
        <v>283.58300000000003</v>
      </c>
      <c r="I24" s="3">
        <v>288.12099999999998</v>
      </c>
      <c r="J24" s="3">
        <v>288.517</v>
      </c>
      <c r="K24" s="3">
        <v>284.03199999999998</v>
      </c>
      <c r="L24" s="3">
        <v>271.83</v>
      </c>
      <c r="M24" s="3"/>
      <c r="N24" s="3"/>
      <c r="Q24" s="1">
        <v>195.02</v>
      </c>
      <c r="R24" s="1">
        <v>259.52999999999997</v>
      </c>
      <c r="S24" s="1">
        <v>287.09300000000002</v>
      </c>
      <c r="T24" s="1">
        <v>287.09300000000002</v>
      </c>
      <c r="U24" s="1">
        <v>287.09300000000002</v>
      </c>
      <c r="V24" s="1">
        <v>287.09300000000002</v>
      </c>
      <c r="W24" s="1">
        <v>287.09300000000002</v>
      </c>
      <c r="X24" s="1">
        <v>287.09300000000002</v>
      </c>
      <c r="Y24" s="1">
        <v>287.09300000000002</v>
      </c>
    </row>
    <row r="25" spans="2:60" x14ac:dyDescent="0.25">
      <c r="B25" s="1" t="s">
        <v>36</v>
      </c>
      <c r="C25" s="6" t="e">
        <f t="shared" ref="C25:K25" si="25">+C23/C24</f>
        <v>#DIV/0!</v>
      </c>
      <c r="D25" s="6" t="e">
        <f t="shared" si="25"/>
        <v>#DIV/0!</v>
      </c>
      <c r="E25" s="6">
        <f t="shared" si="25"/>
        <v>-2.2513782968668933E-2</v>
      </c>
      <c r="F25" s="6">
        <f t="shared" si="25"/>
        <v>-2.5411409188550731E-3</v>
      </c>
      <c r="G25" s="6">
        <f t="shared" si="25"/>
        <v>9.9806642402183385E-3</v>
      </c>
      <c r="H25" s="6">
        <f t="shared" si="25"/>
        <v>3.6973302348871417E-2</v>
      </c>
      <c r="I25" s="6">
        <f t="shared" si="25"/>
        <v>5.8888453115184168E-2</v>
      </c>
      <c r="J25" s="6">
        <f t="shared" si="25"/>
        <v>7.3281643715968139E-2</v>
      </c>
      <c r="K25" s="6">
        <f t="shared" si="25"/>
        <v>3.7439443442992354E-2</v>
      </c>
      <c r="L25" s="6">
        <f>+L23/L24</f>
        <v>6.7726152374646322E-3</v>
      </c>
      <c r="M25" s="3"/>
      <c r="N25" s="3"/>
      <c r="Q25" s="6">
        <f>+Q23/Q24</f>
        <v>-0.57158240180494346</v>
      </c>
      <c r="R25" s="6">
        <f t="shared" ref="R25:Y25" si="26">+R23/R24</f>
        <v>-0.21478056486725983</v>
      </c>
      <c r="S25" s="6">
        <f t="shared" si="26"/>
        <v>0.17904651106087552</v>
      </c>
      <c r="T25" s="6">
        <f t="shared" si="26"/>
        <v>0.19036370137899564</v>
      </c>
      <c r="U25" s="6">
        <f t="shared" si="26"/>
        <v>0.35730207073610265</v>
      </c>
      <c r="V25" s="6">
        <f t="shared" si="26"/>
        <v>0.52471454460318734</v>
      </c>
      <c r="W25" s="6">
        <f t="shared" si="26"/>
        <v>0.65825928019692947</v>
      </c>
      <c r="X25" s="6">
        <f t="shared" si="26"/>
        <v>0.79045380392366937</v>
      </c>
      <c r="Y25" s="6">
        <f t="shared" si="26"/>
        <v>0.92201332847226725</v>
      </c>
    </row>
    <row r="26" spans="2:60" x14ac:dyDescent="0.25">
      <c r="C26" s="3"/>
      <c r="D26" s="3"/>
      <c r="E26" s="3"/>
      <c r="F26" s="3"/>
      <c r="G26" s="3"/>
      <c r="H26" s="3"/>
      <c r="I26" s="3"/>
      <c r="J26" s="3"/>
      <c r="K26" s="3"/>
      <c r="L26" s="3"/>
      <c r="M26" s="3"/>
      <c r="N26" s="3"/>
    </row>
    <row r="27" spans="2:60" x14ac:dyDescent="0.25">
      <c r="B27" s="1" t="s">
        <v>8</v>
      </c>
      <c r="C27" s="3"/>
      <c r="D27" s="3"/>
      <c r="E27" s="3"/>
      <c r="F27" s="3"/>
      <c r="G27" s="8"/>
      <c r="H27" s="3"/>
      <c r="I27" s="8">
        <f>+I3/E3-1</f>
        <v>0.21841808071133473</v>
      </c>
      <c r="J27" s="8">
        <f t="shared" ref="J27:J28" si="27">+J3/F3-1</f>
        <v>0.19287081726750599</v>
      </c>
      <c r="K27" s="8">
        <f>+K3/G3-1</f>
        <v>0.124935781562173</v>
      </c>
      <c r="L27" s="8">
        <f>+L3/H3-1</f>
        <v>8.8142084526344089E-2</v>
      </c>
      <c r="M27" s="3"/>
      <c r="N27" s="3"/>
      <c r="R27" s="8">
        <f>+R3/Q3-1</f>
        <v>0.28275034894894469</v>
      </c>
      <c r="S27" s="8">
        <f t="shared" ref="S27:Y28" si="28">+S3/R3-1</f>
        <v>0.21852222459167892</v>
      </c>
      <c r="T27" s="8">
        <f t="shared" si="28"/>
        <v>6.4999999999999947E-2</v>
      </c>
      <c r="U27" s="8">
        <f t="shared" si="28"/>
        <v>5.0000000000000044E-2</v>
      </c>
      <c r="V27" s="8">
        <f t="shared" si="28"/>
        <v>5.0000000000000044E-2</v>
      </c>
      <c r="W27" s="8">
        <f t="shared" si="28"/>
        <v>3.0000000000000027E-2</v>
      </c>
      <c r="X27" s="8">
        <f t="shared" si="28"/>
        <v>3.0000000000000027E-2</v>
      </c>
      <c r="Y27" s="8">
        <f t="shared" si="28"/>
        <v>3.0000000000000027E-2</v>
      </c>
    </row>
    <row r="28" spans="2:60" x14ac:dyDescent="0.25">
      <c r="B28" s="1" t="s">
        <v>9</v>
      </c>
      <c r="C28" s="3"/>
      <c r="D28" s="3"/>
      <c r="E28" s="3"/>
      <c r="F28" s="3"/>
      <c r="G28" s="8"/>
      <c r="H28" s="3"/>
      <c r="I28" s="8">
        <f>+I4/E4-1</f>
        <v>-8.5557797636206301E-2</v>
      </c>
      <c r="J28" s="8">
        <f t="shared" si="27"/>
        <v>1.5544956721427194E-2</v>
      </c>
      <c r="K28" s="8">
        <f>+K4/G4-1</f>
        <v>0.18454580201299509</v>
      </c>
      <c r="L28" s="8">
        <f t="shared" ref="L28" si="29">+L4/H4-1</f>
        <v>0.28881635915539872</v>
      </c>
      <c r="M28" s="3"/>
      <c r="N28" s="3"/>
      <c r="R28" s="8">
        <f t="shared" ref="R28" si="30">+R4/Q4-1</f>
        <v>7.5137984879640074E-2</v>
      </c>
      <c r="S28" s="8">
        <f t="shared" si="28"/>
        <v>-8.2282394558605643E-2</v>
      </c>
      <c r="T28" s="8">
        <f t="shared" si="28"/>
        <v>5.0000000000000044E-2</v>
      </c>
      <c r="U28" s="8">
        <f t="shared" si="28"/>
        <v>1.0000000000000009E-2</v>
      </c>
      <c r="V28" s="8">
        <f t="shared" si="28"/>
        <v>1.0000000000000009E-2</v>
      </c>
      <c r="W28" s="8">
        <f t="shared" si="28"/>
        <v>1.0000000000000009E-2</v>
      </c>
      <c r="X28" s="8">
        <f t="shared" si="28"/>
        <v>1.0000000000000009E-2</v>
      </c>
      <c r="Y28" s="8">
        <f t="shared" si="28"/>
        <v>1.0000000000000009E-2</v>
      </c>
    </row>
    <row r="29" spans="2:60" x14ac:dyDescent="0.25">
      <c r="B29" s="5" t="s">
        <v>37</v>
      </c>
      <c r="C29" s="9"/>
      <c r="D29" s="9"/>
      <c r="E29" s="9"/>
      <c r="F29" s="9"/>
      <c r="G29" s="11"/>
      <c r="H29" s="9"/>
      <c r="I29" s="11">
        <f t="shared" ref="I29:K29" si="31">+I10/E10-1</f>
        <v>0.18488912630126353</v>
      </c>
      <c r="J29" s="11">
        <f t="shared" ref="J29" si="32">+J10/F10-1</f>
        <v>0.17465569070531228</v>
      </c>
      <c r="K29" s="11">
        <f t="shared" si="31"/>
        <v>0.13033346215743835</v>
      </c>
      <c r="L29" s="11">
        <f>+L10/H10-1</f>
        <v>0.10502339394278981</v>
      </c>
      <c r="M29" s="11"/>
      <c r="N29" s="9"/>
      <c r="O29" s="5"/>
      <c r="P29" s="5"/>
      <c r="Q29" s="5"/>
      <c r="R29" s="11">
        <f>+R10/Q10-1</f>
        <v>0.25547833645414042</v>
      </c>
      <c r="S29" s="11">
        <f t="shared" ref="S29:Y29" si="33">+S10/R10-1</f>
        <v>0.18468432035458338</v>
      </c>
      <c r="T29" s="11">
        <f t="shared" si="33"/>
        <v>6.3692876454202851E-2</v>
      </c>
      <c r="U29" s="11">
        <f t="shared" si="33"/>
        <v>4.6559208010838349E-2</v>
      </c>
      <c r="V29" s="11">
        <f t="shared" si="33"/>
        <v>4.6679404392553581E-2</v>
      </c>
      <c r="W29" s="11">
        <f t="shared" si="33"/>
        <v>2.8397884992555689E-2</v>
      </c>
      <c r="X29" s="11">
        <f t="shared" si="33"/>
        <v>2.8426546591418855E-2</v>
      </c>
      <c r="Y29" s="11">
        <f t="shared" si="33"/>
        <v>2.8454738505210742E-2</v>
      </c>
    </row>
    <row r="30" spans="2:60" x14ac:dyDescent="0.25">
      <c r="B30" s="1" t="s">
        <v>57</v>
      </c>
      <c r="C30" s="8" t="e">
        <f t="shared" ref="C30:F30" si="34">+C13/C10</f>
        <v>#DIV/0!</v>
      </c>
      <c r="D30" s="8" t="e">
        <f t="shared" si="34"/>
        <v>#DIV/0!</v>
      </c>
      <c r="E30" s="8">
        <f t="shared" si="34"/>
        <v>0.74232278332093282</v>
      </c>
      <c r="F30" s="8">
        <f t="shared" si="34"/>
        <v>0.76214382057811314</v>
      </c>
      <c r="G30" s="8">
        <f t="shared" ref="G30" si="35">+G13/G10</f>
        <v>0.75809717183020586</v>
      </c>
      <c r="H30" s="8">
        <f t="shared" ref="H30:K30" si="36">+H13/H10</f>
        <v>0.75643963802426251</v>
      </c>
      <c r="I30" s="8">
        <f t="shared" si="36"/>
        <v>0.75071514826244456</v>
      </c>
      <c r="J30" s="8">
        <f t="shared" si="36"/>
        <v>0.75516330513318264</v>
      </c>
      <c r="K30" s="8">
        <f t="shared" si="36"/>
        <v>0.73910225660600737</v>
      </c>
      <c r="L30" s="8">
        <f>+L13/L10</f>
        <v>0.72457506794856186</v>
      </c>
      <c r="M30" s="3"/>
      <c r="N30" s="3"/>
      <c r="Q30" s="8">
        <f>+Q13/Q10</f>
        <v>0.70033956546992848</v>
      </c>
      <c r="R30" s="8">
        <f t="shared" ref="R30:Y30" si="37">+R13/R10</f>
        <v>0.73515424060563916</v>
      </c>
      <c r="S30" s="8">
        <f t="shared" si="37"/>
        <v>0.75503714020427104</v>
      </c>
      <c r="T30" s="8">
        <f t="shared" si="37"/>
        <v>0.7248403982682472</v>
      </c>
      <c r="U30" s="8">
        <f t="shared" si="37"/>
        <v>0.72781525871570218</v>
      </c>
      <c r="V30" s="8">
        <f t="shared" si="37"/>
        <v>0.73069530713149533</v>
      </c>
      <c r="W30" s="8">
        <f t="shared" si="37"/>
        <v>0.73211405627524273</v>
      </c>
      <c r="X30" s="8">
        <f t="shared" si="37"/>
        <v>0.73350955600793399</v>
      </c>
      <c r="Y30" s="8">
        <f t="shared" si="37"/>
        <v>0.73488211144393956</v>
      </c>
    </row>
    <row r="31" spans="2:60" x14ac:dyDescent="0.25">
      <c r="B31" s="1" t="s">
        <v>68</v>
      </c>
      <c r="C31" s="8" t="e">
        <f t="shared" ref="C31:L31" si="38">+C19/C10</f>
        <v>#DIV/0!</v>
      </c>
      <c r="D31" s="8" t="e">
        <f t="shared" si="38"/>
        <v>#DIV/0!</v>
      </c>
      <c r="E31" s="8">
        <f t="shared" si="38"/>
        <v>-2.9271673948019373E-2</v>
      </c>
      <c r="F31" s="8">
        <f t="shared" si="38"/>
        <v>-1.0996122929154056E-2</v>
      </c>
      <c r="G31" s="8">
        <f t="shared" si="38"/>
        <v>-1.8418001534352843E-2</v>
      </c>
      <c r="H31" s="8">
        <f t="shared" si="38"/>
        <v>3.0756731011682987E-2</v>
      </c>
      <c r="I31" s="8">
        <f t="shared" si="38"/>
        <v>7.0784918824634266E-2</v>
      </c>
      <c r="J31" s="8">
        <f t="shared" si="38"/>
        <v>9.5053216413414451E-2</v>
      </c>
      <c r="K31" s="8">
        <f t="shared" si="38"/>
        <v>2.9133793976260234E-2</v>
      </c>
      <c r="L31" s="8">
        <f>+L19/L10</f>
        <v>-4.4115857368863884E-4</v>
      </c>
      <c r="M31" s="3"/>
      <c r="N31" s="3"/>
      <c r="Q31" s="8"/>
      <c r="R31" s="8"/>
      <c r="S31" s="8"/>
      <c r="T31" s="8"/>
      <c r="U31" s="8"/>
      <c r="V31" s="8"/>
      <c r="W31" s="8"/>
      <c r="X31" s="8"/>
      <c r="Y31" s="8"/>
    </row>
    <row r="32" spans="2:60" x14ac:dyDescent="0.25">
      <c r="C32" s="3"/>
      <c r="D32" s="3"/>
      <c r="E32" s="3"/>
      <c r="F32" s="3"/>
      <c r="G32" s="3"/>
      <c r="H32" s="3"/>
      <c r="I32" s="3"/>
      <c r="J32" s="3"/>
      <c r="K32" s="3"/>
      <c r="L32" s="3"/>
      <c r="M32" s="3"/>
      <c r="N32" s="3"/>
      <c r="T32" s="8">
        <f>+T19/T10</f>
        <v>6.3641435792837139E-2</v>
      </c>
      <c r="U32" s="8">
        <f t="shared" ref="U32:Y32" si="39">+U19/U10</f>
        <v>0.1316112921309385</v>
      </c>
      <c r="V32" s="8">
        <f t="shared" si="39"/>
        <v>0.19133812111468623</v>
      </c>
      <c r="W32" s="8">
        <f t="shared" si="39"/>
        <v>0.23379917811238157</v>
      </c>
      <c r="X32" s="8">
        <f t="shared" si="39"/>
        <v>0.27152555897762332</v>
      </c>
      <c r="Y32" s="8">
        <f t="shared" si="39"/>
        <v>0.30509828545468393</v>
      </c>
    </row>
    <row r="33" spans="2:25" x14ac:dyDescent="0.25">
      <c r="B33" s="1" t="s">
        <v>63</v>
      </c>
      <c r="C33" s="3"/>
      <c r="D33" s="3"/>
      <c r="E33" s="8">
        <f>+E14/E$10</f>
        <v>0.12214866678113333</v>
      </c>
      <c r="F33" s="8">
        <f t="shared" ref="F33" si="40">+F14/F$10</f>
        <v>0.12173760516781484</v>
      </c>
      <c r="G33" s="8">
        <f t="shared" ref="G33:I33" si="41">+G14/G$10</f>
        <v>0.11975450355612212</v>
      </c>
      <c r="H33" s="8">
        <f t="shared" si="41"/>
        <v>0.1362900288571989</v>
      </c>
      <c r="I33" s="8">
        <f t="shared" si="41"/>
        <v>0.12422380249563936</v>
      </c>
      <c r="J33" s="8">
        <f t="shared" ref="J33" si="42">+J14/J$10</f>
        <v>0.11874958163197002</v>
      </c>
      <c r="K33" s="8">
        <f t="shared" ref="K33:L33" si="43">+K14/K$10</f>
        <v>0.1150195450045418</v>
      </c>
      <c r="L33" s="8">
        <f t="shared" si="43"/>
        <v>0.11978215893878545</v>
      </c>
      <c r="M33" s="3"/>
      <c r="N33" s="3"/>
      <c r="T33" s="8"/>
      <c r="U33" s="8"/>
      <c r="V33" s="8"/>
      <c r="W33" s="8"/>
      <c r="X33" s="8"/>
      <c r="Y33" s="8"/>
    </row>
    <row r="34" spans="2:25" x14ac:dyDescent="0.25">
      <c r="B34" s="1" t="s">
        <v>64</v>
      </c>
      <c r="C34" s="3"/>
      <c r="D34" s="3"/>
      <c r="E34" s="8">
        <f>+E15/E$10</f>
        <v>0.50580282478330818</v>
      </c>
      <c r="F34" s="8">
        <f>+F15/F$10</f>
        <v>0.50384380424723729</v>
      </c>
      <c r="G34" s="8">
        <f t="shared" ref="G34:I34" si="44">+G15/G$10</f>
        <v>0.5145388577724197</v>
      </c>
      <c r="H34" s="8">
        <f t="shared" si="44"/>
        <v>0.44892836130333674</v>
      </c>
      <c r="I34" s="8">
        <f t="shared" si="44"/>
        <v>0.40491614115121427</v>
      </c>
      <c r="J34" s="8">
        <f t="shared" ref="J34" si="45">+J15/J$10</f>
        <v>0.3969115428383117</v>
      </c>
      <c r="K34" s="8">
        <f t="shared" ref="K34:L34" si="46">+K15/K$10</f>
        <v>0.44644260504802047</v>
      </c>
      <c r="L34" s="8">
        <f t="shared" si="46"/>
        <v>0.4081832380025151</v>
      </c>
      <c r="M34" s="3"/>
      <c r="N34" s="3"/>
      <c r="T34" s="8"/>
      <c r="U34" s="8"/>
      <c r="V34" s="8"/>
      <c r="W34" s="8"/>
      <c r="X34" s="8"/>
      <c r="Y34" s="8"/>
    </row>
    <row r="35" spans="2:25" x14ac:dyDescent="0.25">
      <c r="B35" s="1" t="s">
        <v>65</v>
      </c>
      <c r="C35" s="3"/>
      <c r="D35" s="3"/>
      <c r="E35" s="8">
        <f>+E16/E$10</f>
        <v>0.14364296570451063</v>
      </c>
      <c r="F35" s="8">
        <f>+F16/F$10</f>
        <v>0.147558534092215</v>
      </c>
      <c r="G35" s="8">
        <f t="shared" ref="G35:I35" si="47">+G16/G$10</f>
        <v>0.14222181203601691</v>
      </c>
      <c r="H35" s="8">
        <f t="shared" si="47"/>
        <v>0.14046451685204384</v>
      </c>
      <c r="I35" s="8">
        <f t="shared" si="47"/>
        <v>0.15079028579095669</v>
      </c>
      <c r="J35" s="8">
        <f t="shared" ref="J35" si="48">+J16/J$10</f>
        <v>0.14444896424948639</v>
      </c>
      <c r="K35" s="8">
        <f t="shared" ref="K35:L35" si="49">+K16/K$10</f>
        <v>0.14850631257718491</v>
      </c>
      <c r="L35" s="8">
        <f t="shared" si="49"/>
        <v>0.19705082958095005</v>
      </c>
      <c r="M35" s="3"/>
      <c r="N35" s="3"/>
      <c r="T35" s="8"/>
      <c r="U35" s="8"/>
      <c r="V35" s="8"/>
      <c r="W35" s="8"/>
      <c r="X35" s="8"/>
      <c r="Y35" s="8"/>
    </row>
    <row r="36" spans="2:25" x14ac:dyDescent="0.25">
      <c r="C36" s="3"/>
      <c r="D36" s="3"/>
      <c r="E36" s="3"/>
      <c r="F36" s="3"/>
      <c r="G36" s="3"/>
      <c r="H36" s="3"/>
      <c r="I36" s="3"/>
      <c r="J36" s="3"/>
      <c r="K36" s="3"/>
      <c r="L36" s="3"/>
      <c r="M36" s="3"/>
      <c r="N36" s="3"/>
      <c r="T36" s="8"/>
      <c r="U36" s="8"/>
      <c r="V36" s="8"/>
      <c r="W36" s="8"/>
      <c r="X36" s="8"/>
      <c r="Y36" s="8"/>
    </row>
    <row r="37" spans="2:25" x14ac:dyDescent="0.25">
      <c r="B37" s="1" t="s">
        <v>49</v>
      </c>
      <c r="C37" s="3"/>
      <c r="D37" s="3"/>
      <c r="E37" s="3"/>
      <c r="F37" s="3"/>
      <c r="G37" s="3">
        <v>13.31</v>
      </c>
      <c r="H37" s="3">
        <f>28.175-G37</f>
        <v>14.865</v>
      </c>
      <c r="I37" s="3">
        <f>42.105-G37-H37</f>
        <v>13.929999999999994</v>
      </c>
      <c r="J37" s="3">
        <f>55.757-I37-H37-G37</f>
        <v>13.652000000000003</v>
      </c>
      <c r="K37" s="3">
        <v>13.855</v>
      </c>
      <c r="L37" s="3">
        <f>28.947-K37</f>
        <v>15.091999999999999</v>
      </c>
      <c r="M37" s="3"/>
      <c r="N37" s="3"/>
    </row>
    <row r="38" spans="2:25" x14ac:dyDescent="0.25">
      <c r="B38" s="1" t="s">
        <v>50</v>
      </c>
      <c r="C38" s="3"/>
      <c r="D38" s="3"/>
      <c r="E38" s="3"/>
      <c r="F38" s="3"/>
      <c r="G38" s="3">
        <v>18.559999999999999</v>
      </c>
      <c r="H38" s="3">
        <f>33.135-G38</f>
        <v>14.574999999999999</v>
      </c>
      <c r="I38" s="3">
        <f>54.162-G38-H38</f>
        <v>21.027000000000005</v>
      </c>
      <c r="J38" s="3">
        <f>71.465-I38-H38-G38</f>
        <v>17.303000000000001</v>
      </c>
      <c r="K38" s="3">
        <v>41.712000000000003</v>
      </c>
      <c r="L38" s="3">
        <f>63.034-K38</f>
        <v>21.321999999999996</v>
      </c>
      <c r="M38" s="3"/>
      <c r="N38" s="3"/>
    </row>
    <row r="39" spans="2:25" x14ac:dyDescent="0.25">
      <c r="B39" s="1" t="s">
        <v>51</v>
      </c>
      <c r="C39" s="3"/>
      <c r="D39" s="3"/>
      <c r="E39" s="3"/>
      <c r="F39" s="3"/>
      <c r="G39" s="3">
        <f>1.625+2.683</f>
        <v>4.3079999999999998</v>
      </c>
      <c r="H39" s="3">
        <f>4.413+5.744-G39</f>
        <v>5.8490000000000002</v>
      </c>
      <c r="I39" s="3">
        <f>6.494+8.791-G39-H39</f>
        <v>5.1280000000000001</v>
      </c>
      <c r="J39" s="3">
        <f>8.548+11.777-I39-H39-G39</f>
        <v>5.0399999999999991</v>
      </c>
      <c r="K39" s="3">
        <f>2.545+2.977</f>
        <v>5.5220000000000002</v>
      </c>
      <c r="L39" s="3">
        <f>4.028+6.291-K39</f>
        <v>4.7969999999999988</v>
      </c>
    </row>
    <row r="40" spans="2:25" x14ac:dyDescent="0.25">
      <c r="B40" s="5" t="s">
        <v>52</v>
      </c>
      <c r="C40" s="9">
        <f t="shared" ref="C40:K40" si="50">+C38-C39</f>
        <v>0</v>
      </c>
      <c r="D40" s="9">
        <f t="shared" si="50"/>
        <v>0</v>
      </c>
      <c r="E40" s="9">
        <f t="shared" si="50"/>
        <v>0</v>
      </c>
      <c r="F40" s="9">
        <f t="shared" si="50"/>
        <v>0</v>
      </c>
      <c r="G40" s="9">
        <f t="shared" si="50"/>
        <v>14.251999999999999</v>
      </c>
      <c r="H40" s="9">
        <f t="shared" si="50"/>
        <v>8.7259999999999991</v>
      </c>
      <c r="I40" s="9">
        <f t="shared" si="50"/>
        <v>15.899000000000004</v>
      </c>
      <c r="J40" s="9">
        <f t="shared" si="50"/>
        <v>12.263000000000002</v>
      </c>
      <c r="K40" s="9">
        <f t="shared" si="50"/>
        <v>36.190000000000005</v>
      </c>
      <c r="L40" s="9">
        <f>+L38-L39</f>
        <v>16.524999999999999</v>
      </c>
    </row>
    <row r="41" spans="2:25" x14ac:dyDescent="0.25">
      <c r="B41" s="1" t="s">
        <v>66</v>
      </c>
      <c r="J41" s="3">
        <f t="shared" ref="J41:K41" si="51">+SUM(G40:J40)</f>
        <v>51.14</v>
      </c>
      <c r="K41" s="3">
        <f t="shared" si="51"/>
        <v>73.078000000000003</v>
      </c>
      <c r="L41" s="3">
        <f>+SUM(I40:L40)</f>
        <v>80.87700000000001</v>
      </c>
    </row>
    <row r="42" spans="2:25" x14ac:dyDescent="0.25">
      <c r="B42" s="1" t="s">
        <v>53</v>
      </c>
      <c r="L42" s="3">
        <f>+main!J6</f>
        <v>468.45100000000002</v>
      </c>
      <c r="T42" s="3">
        <f>+L42+T23</f>
        <v>523.10308612000006</v>
      </c>
      <c r="U42" s="3">
        <f>+T42+U23</f>
        <v>625.68200951383994</v>
      </c>
      <c r="V42" s="3">
        <f t="shared" ref="V42:Y42" si="52">+U42+V23</f>
        <v>776.32388226760281</v>
      </c>
      <c r="W42" s="3">
        <f t="shared" si="52"/>
        <v>965.30551379717986</v>
      </c>
      <c r="X42" s="3">
        <f t="shared" si="52"/>
        <v>1192.2392677270379</v>
      </c>
      <c r="Y42" s="3">
        <f t="shared" si="52"/>
        <v>1456.9428402381266</v>
      </c>
    </row>
    <row r="44" spans="2:25" x14ac:dyDescent="0.25">
      <c r="B44" s="1" t="s">
        <v>54</v>
      </c>
      <c r="G44" s="8">
        <v>1.222</v>
      </c>
      <c r="H44" s="8">
        <v>1.2</v>
      </c>
      <c r="I44" s="8"/>
      <c r="J44" s="8"/>
      <c r="K44" s="8">
        <v>1.1459999999999999</v>
      </c>
      <c r="L44" s="8">
        <v>1.1080000000000001</v>
      </c>
      <c r="M44" s="8"/>
      <c r="N44" s="8"/>
    </row>
    <row r="46" spans="2:25" x14ac:dyDescent="0.25">
      <c r="B46" s="1" t="s">
        <v>55</v>
      </c>
      <c r="I46" s="1">
        <v>774.5</v>
      </c>
      <c r="J46" s="1">
        <v>966.6</v>
      </c>
      <c r="K46" s="1">
        <v>922.5</v>
      </c>
      <c r="L46" s="1">
        <v>887.1</v>
      </c>
    </row>
    <row r="48" spans="2:25" x14ac:dyDescent="0.25">
      <c r="B48" s="1" t="s">
        <v>67</v>
      </c>
      <c r="H48" s="1">
        <v>120</v>
      </c>
      <c r="L48" s="1">
        <v>145</v>
      </c>
    </row>
    <row r="49" spans="12:12" x14ac:dyDescent="0.25">
      <c r="L49" s="8">
        <f>+L48/H48-1</f>
        <v>0.20833333333333326</v>
      </c>
    </row>
  </sheetData>
  <hyperlinks>
    <hyperlink ref="A1" location="main!A1" display="main" xr:uid="{A9894866-DAB9-4F8E-BB52-0F1604591EA8}"/>
  </hyperlink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2024-10-07T16:03:13Z</dcterms:created>
  <dcterms:modified xsi:type="dcterms:W3CDTF">2024-10-09T07:59:09Z</dcterms:modified>
</cp:coreProperties>
</file>