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360" documentId="8_{9F3BF7B1-82AB-4CEF-AFE5-34609CCAC6F9}" xr6:coauthVersionLast="47" xr6:coauthVersionMax="47" xr10:uidLastSave="{21ACCCDE-FA35-46D6-990A-6CDA300AD218}"/>
  <bookViews>
    <workbookView xWindow="-120" yWindow="-120" windowWidth="29040" windowHeight="15720" activeTab="1" xr2:uid="{67FF09E2-D88D-4CF7-9D19-4F262574A954}"/>
  </bookViews>
  <sheets>
    <sheet name="main" sheetId="1" r:id="rId1"/>
    <sheet name="model" sheetId="2" r:id="rId2"/>
    <sheet name="Disney+ 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1" i="2" l="1"/>
  <c r="AF61" i="2" s="1"/>
  <c r="AG61" i="2" s="1"/>
  <c r="AH61" i="2" s="1"/>
  <c r="AI61" i="2" s="1"/>
  <c r="AD61" i="2"/>
  <c r="AC61" i="2"/>
  <c r="AD73" i="2"/>
  <c r="AE73" i="2" s="1"/>
  <c r="AF73" i="2" s="1"/>
  <c r="AG73" i="2" s="1"/>
  <c r="AH73" i="2" s="1"/>
  <c r="AI73" i="2" s="1"/>
  <c r="AC73" i="2"/>
  <c r="AD72" i="2"/>
  <c r="AE72" i="2" s="1"/>
  <c r="AF72" i="2" s="1"/>
  <c r="AG72" i="2" s="1"/>
  <c r="AH72" i="2" s="1"/>
  <c r="AI72" i="2" s="1"/>
  <c r="AC72" i="2"/>
  <c r="AN12" i="2"/>
  <c r="AN11" i="2"/>
  <c r="AO12" i="2" s="1"/>
  <c r="AL5" i="2"/>
  <c r="AI18" i="2"/>
  <c r="AH18" i="2"/>
  <c r="AG18" i="2"/>
  <c r="AF18" i="2"/>
  <c r="AE18" i="2"/>
  <c r="AD18" i="2"/>
  <c r="AI17" i="2"/>
  <c r="AH17" i="2"/>
  <c r="AG17" i="2"/>
  <c r="AF17" i="2"/>
  <c r="AD17" i="2"/>
  <c r="AE17" i="2"/>
  <c r="AC17" i="2"/>
  <c r="AC19" i="2" s="1"/>
  <c r="AC18" i="2"/>
  <c r="AC13" i="2"/>
  <c r="AE26" i="2"/>
  <c r="AF26" i="2" s="1"/>
  <c r="AG26" i="2" s="1"/>
  <c r="AH26" i="2" s="1"/>
  <c r="AI26" i="2" s="1"/>
  <c r="AD26" i="2"/>
  <c r="AC26" i="2"/>
  <c r="AD34" i="2"/>
  <c r="AE34" i="2" s="1"/>
  <c r="AF34" i="2" s="1"/>
  <c r="AG34" i="2" s="1"/>
  <c r="AH34" i="2" s="1"/>
  <c r="AI34" i="2" s="1"/>
  <c r="AC34" i="2"/>
  <c r="AD28" i="2"/>
  <c r="AE28" i="2" s="1"/>
  <c r="AF28" i="2" s="1"/>
  <c r="AG28" i="2" s="1"/>
  <c r="AH28" i="2" s="1"/>
  <c r="AI28" i="2" s="1"/>
  <c r="AC28" i="2"/>
  <c r="AD27" i="2"/>
  <c r="AE27" i="2" s="1"/>
  <c r="AF27" i="2" s="1"/>
  <c r="AG27" i="2" s="1"/>
  <c r="AH27" i="2" s="1"/>
  <c r="AI27" i="2" s="1"/>
  <c r="AC27" i="2"/>
  <c r="AD23" i="2"/>
  <c r="AE23" i="2" s="1"/>
  <c r="AF23" i="2" s="1"/>
  <c r="AG23" i="2" s="1"/>
  <c r="AH23" i="2" s="1"/>
  <c r="AI23" i="2" s="1"/>
  <c r="AC23" i="2"/>
  <c r="AD22" i="2"/>
  <c r="AE22" i="2" s="1"/>
  <c r="AC22" i="2"/>
  <c r="AD14" i="2"/>
  <c r="AE14" i="2" s="1"/>
  <c r="AC14" i="2"/>
  <c r="AD13" i="2"/>
  <c r="AE13" i="2" s="1"/>
  <c r="AE37" i="2" s="1"/>
  <c r="AB39" i="2"/>
  <c r="AA39" i="2"/>
  <c r="Z39" i="2"/>
  <c r="Y39" i="2"/>
  <c r="AB38" i="2"/>
  <c r="AA38" i="2"/>
  <c r="Z38" i="2"/>
  <c r="Y38" i="2"/>
  <c r="AC37" i="2"/>
  <c r="AB37" i="2"/>
  <c r="AA37" i="2"/>
  <c r="Z37" i="2"/>
  <c r="Y37" i="2"/>
  <c r="AB49" i="2"/>
  <c r="Z26" i="2"/>
  <c r="AA26" i="2"/>
  <c r="AB26" i="2"/>
  <c r="AA49" i="2"/>
  <c r="Z49" i="2"/>
  <c r="Y49" i="2"/>
  <c r="X49" i="2"/>
  <c r="X32" i="2"/>
  <c r="AB16" i="2"/>
  <c r="AA16" i="2"/>
  <c r="Z16" i="2"/>
  <c r="AB76" i="2"/>
  <c r="AA76" i="2"/>
  <c r="AC74" i="2"/>
  <c r="AD74" i="2" s="1"/>
  <c r="AE74" i="2" s="1"/>
  <c r="AF74" i="2" s="1"/>
  <c r="AG74" i="2" s="1"/>
  <c r="AH74" i="2" s="1"/>
  <c r="AI74" i="2" s="1"/>
  <c r="AA70" i="2"/>
  <c r="AB70" i="2"/>
  <c r="AB61" i="2"/>
  <c r="AB62" i="2" s="1"/>
  <c r="AC62" i="2" s="1"/>
  <c r="AA61" i="2"/>
  <c r="AA62" i="2" s="1"/>
  <c r="Z61" i="2"/>
  <c r="Y61" i="2"/>
  <c r="X61" i="2"/>
  <c r="AI54" i="2"/>
  <c r="AH54" i="2"/>
  <c r="AG54" i="2"/>
  <c r="AF54" i="2"/>
  <c r="AE54" i="2"/>
  <c r="AD54" i="2"/>
  <c r="AC54" i="2"/>
  <c r="AB54" i="2"/>
  <c r="AA54" i="2"/>
  <c r="Z54" i="2"/>
  <c r="Y54" i="2"/>
  <c r="X54" i="2"/>
  <c r="AB24" i="2"/>
  <c r="AA24" i="2"/>
  <c r="Z24" i="2"/>
  <c r="Y24" i="2"/>
  <c r="X24" i="2"/>
  <c r="AD20" i="2"/>
  <c r="AD42" i="2" s="1"/>
  <c r="AB20" i="2"/>
  <c r="AB42" i="2" s="1"/>
  <c r="AA20" i="2"/>
  <c r="AA42" i="2" s="1"/>
  <c r="Z20" i="2"/>
  <c r="Z42" i="2" s="1"/>
  <c r="Y20" i="2"/>
  <c r="Y42" i="2" s="1"/>
  <c r="X20" i="2"/>
  <c r="X42" i="2" s="1"/>
  <c r="AB19" i="2"/>
  <c r="AA19" i="2"/>
  <c r="AA41" i="2" s="1"/>
  <c r="Z19" i="2"/>
  <c r="Z41" i="2" s="1"/>
  <c r="Y19" i="2"/>
  <c r="Y41" i="2" s="1"/>
  <c r="X19" i="2"/>
  <c r="X41" i="2" s="1"/>
  <c r="Y16" i="2"/>
  <c r="X16" i="2"/>
  <c r="Y1" i="2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G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48" i="3"/>
  <c r="G36" i="3"/>
  <c r="G25" i="3"/>
  <c r="G24" i="3"/>
  <c r="G23" i="3"/>
  <c r="H3" i="3"/>
  <c r="F3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T61" i="2"/>
  <c r="T62" i="2" s="1"/>
  <c r="S61" i="2"/>
  <c r="R61" i="2"/>
  <c r="Q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P61" i="2"/>
  <c r="P47" i="2"/>
  <c r="P46" i="2"/>
  <c r="P45" i="2"/>
  <c r="T47" i="2"/>
  <c r="T46" i="2"/>
  <c r="T4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4" i="2"/>
  <c r="P49" i="2"/>
  <c r="T49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4" i="2"/>
  <c r="U20" i="2"/>
  <c r="U42" i="2" s="1"/>
  <c r="U19" i="2"/>
  <c r="S20" i="2"/>
  <c r="S42" i="2" s="1"/>
  <c r="R20" i="2"/>
  <c r="R42" i="2" s="1"/>
  <c r="Q20" i="2"/>
  <c r="Q42" i="2" s="1"/>
  <c r="P20" i="2"/>
  <c r="P42" i="2" s="1"/>
  <c r="O20" i="2"/>
  <c r="O42" i="2" s="1"/>
  <c r="N20" i="2"/>
  <c r="N42" i="2" s="1"/>
  <c r="M20" i="2"/>
  <c r="M42" i="2" s="1"/>
  <c r="L20" i="2"/>
  <c r="L42" i="2" s="1"/>
  <c r="K20" i="2"/>
  <c r="K42" i="2" s="1"/>
  <c r="J20" i="2"/>
  <c r="J42" i="2" s="1"/>
  <c r="I20" i="2"/>
  <c r="I42" i="2" s="1"/>
  <c r="H20" i="2"/>
  <c r="H42" i="2" s="1"/>
  <c r="G20" i="2"/>
  <c r="G42" i="2" s="1"/>
  <c r="F20" i="2"/>
  <c r="F42" i="2" s="1"/>
  <c r="E20" i="2"/>
  <c r="E42" i="2" s="1"/>
  <c r="D20" i="2"/>
  <c r="D42" i="2" s="1"/>
  <c r="C20" i="2"/>
  <c r="C42" i="2" s="1"/>
  <c r="B20" i="2"/>
  <c r="B42" i="2" s="1"/>
  <c r="S19" i="2"/>
  <c r="S41" i="2" s="1"/>
  <c r="R19" i="2"/>
  <c r="R41" i="2" s="1"/>
  <c r="Q19" i="2"/>
  <c r="Q41" i="2" s="1"/>
  <c r="P19" i="2"/>
  <c r="P41" i="2" s="1"/>
  <c r="O19" i="2"/>
  <c r="N19" i="2"/>
  <c r="M19" i="2"/>
  <c r="L19" i="2"/>
  <c r="L41" i="2" s="1"/>
  <c r="K19" i="2"/>
  <c r="K41" i="2" s="1"/>
  <c r="J19" i="2"/>
  <c r="J41" i="2" s="1"/>
  <c r="I19" i="2"/>
  <c r="H19" i="2"/>
  <c r="G19" i="2"/>
  <c r="F19" i="2"/>
  <c r="E19" i="2"/>
  <c r="D19" i="2"/>
  <c r="D41" i="2" s="1"/>
  <c r="C19" i="2"/>
  <c r="C41" i="2" s="1"/>
  <c r="B19" i="2"/>
  <c r="B41" i="2" s="1"/>
  <c r="T20" i="2"/>
  <c r="T42" i="2" s="1"/>
  <c r="T19" i="2"/>
  <c r="T41" i="2" s="1"/>
  <c r="T38" i="2"/>
  <c r="T37" i="2"/>
  <c r="U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6" i="2"/>
  <c r="B7" i="1"/>
  <c r="B6" i="1"/>
  <c r="B5" i="1"/>
  <c r="B4" i="1"/>
  <c r="AD19" i="2" l="1"/>
  <c r="AD41" i="2" s="1"/>
  <c r="AE19" i="2"/>
  <c r="AE41" i="2" s="1"/>
  <c r="AD16" i="2"/>
  <c r="AD24" i="2"/>
  <c r="AC24" i="2"/>
  <c r="AF22" i="2"/>
  <c r="AE24" i="2"/>
  <c r="AD38" i="2"/>
  <c r="AE38" i="2"/>
  <c r="AF14" i="2"/>
  <c r="AE20" i="2"/>
  <c r="AE42" i="2" s="1"/>
  <c r="AC38" i="2"/>
  <c r="AC20" i="2"/>
  <c r="AC42" i="2" s="1"/>
  <c r="AC16" i="2"/>
  <c r="AC39" i="2" s="1"/>
  <c r="AD39" i="2"/>
  <c r="AD37" i="2"/>
  <c r="AE16" i="2"/>
  <c r="AE39" i="2" s="1"/>
  <c r="AF13" i="2"/>
  <c r="AD62" i="2"/>
  <c r="AE62" i="2" s="1"/>
  <c r="AB21" i="2"/>
  <c r="AB25" i="2" s="1"/>
  <c r="AB43" i="2" s="1"/>
  <c r="AB41" i="2"/>
  <c r="Y21" i="2"/>
  <c r="Y25" i="2" s="1"/>
  <c r="AC41" i="2"/>
  <c r="Z21" i="2"/>
  <c r="Z25" i="2" s="1"/>
  <c r="AA21" i="2"/>
  <c r="AA25" i="2" s="1"/>
  <c r="X21" i="2"/>
  <c r="X25" i="2" s="1"/>
  <c r="H66" i="3"/>
  <c r="E21" i="2"/>
  <c r="E25" i="2" s="1"/>
  <c r="E29" i="2" s="1"/>
  <c r="E31" i="2" s="1"/>
  <c r="E33" i="2" s="1"/>
  <c r="E35" i="2" s="1"/>
  <c r="M21" i="2"/>
  <c r="M25" i="2" s="1"/>
  <c r="M29" i="2" s="1"/>
  <c r="M31" i="2" s="1"/>
  <c r="M33" i="2" s="1"/>
  <c r="M35" i="2" s="1"/>
  <c r="N21" i="2"/>
  <c r="N25" i="2" s="1"/>
  <c r="N29" i="2" s="1"/>
  <c r="N31" i="2" s="1"/>
  <c r="N33" i="2" s="1"/>
  <c r="N35" i="2" s="1"/>
  <c r="H21" i="2"/>
  <c r="H25" i="2" s="1"/>
  <c r="H29" i="2" s="1"/>
  <c r="H31" i="2" s="1"/>
  <c r="H33" i="2" s="1"/>
  <c r="H35" i="2" s="1"/>
  <c r="U21" i="2"/>
  <c r="U25" i="2" s="1"/>
  <c r="U43" i="2" s="1"/>
  <c r="O21" i="2"/>
  <c r="O25" i="2" s="1"/>
  <c r="O29" i="2" s="1"/>
  <c r="O31" i="2" s="1"/>
  <c r="O33" i="2" s="1"/>
  <c r="O35" i="2" s="1"/>
  <c r="F21" i="2"/>
  <c r="F25" i="2" s="1"/>
  <c r="F29" i="2" s="1"/>
  <c r="F31" i="2" s="1"/>
  <c r="F33" i="2" s="1"/>
  <c r="F35" i="2" s="1"/>
  <c r="G21" i="2"/>
  <c r="G25" i="2" s="1"/>
  <c r="G29" i="2" s="1"/>
  <c r="G31" i="2" s="1"/>
  <c r="G33" i="2" s="1"/>
  <c r="G35" i="2" s="1"/>
  <c r="T21" i="2"/>
  <c r="T25" i="2" s="1"/>
  <c r="T43" i="2" s="1"/>
  <c r="T39" i="2"/>
  <c r="I21" i="2"/>
  <c r="I25" i="2" s="1"/>
  <c r="I43" i="2" s="1"/>
  <c r="Q21" i="2"/>
  <c r="Q25" i="2" s="1"/>
  <c r="Q43" i="2" s="1"/>
  <c r="U41" i="2"/>
  <c r="I41" i="2"/>
  <c r="D21" i="2"/>
  <c r="D25" i="2" s="1"/>
  <c r="L21" i="2"/>
  <c r="L25" i="2" s="1"/>
  <c r="H43" i="2"/>
  <c r="E41" i="2"/>
  <c r="M41" i="2"/>
  <c r="F41" i="2"/>
  <c r="N41" i="2"/>
  <c r="B21" i="2"/>
  <c r="B25" i="2" s="1"/>
  <c r="J21" i="2"/>
  <c r="J25" i="2" s="1"/>
  <c r="R21" i="2"/>
  <c r="R25" i="2" s="1"/>
  <c r="G41" i="2"/>
  <c r="O41" i="2"/>
  <c r="C21" i="2"/>
  <c r="C25" i="2" s="1"/>
  <c r="K21" i="2"/>
  <c r="K25" i="2" s="1"/>
  <c r="S21" i="2"/>
  <c r="S25" i="2" s="1"/>
  <c r="H41" i="2"/>
  <c r="P21" i="2"/>
  <c r="P25" i="2" s="1"/>
  <c r="AD21" i="2" l="1"/>
  <c r="AD25" i="2"/>
  <c r="AD43" i="2" s="1"/>
  <c r="AG22" i="2"/>
  <c r="AF24" i="2"/>
  <c r="AC21" i="2"/>
  <c r="AC25" i="2" s="1"/>
  <c r="AC43" i="2" s="1"/>
  <c r="AF38" i="2"/>
  <c r="AG14" i="2"/>
  <c r="AF20" i="2"/>
  <c r="AF42" i="2" s="1"/>
  <c r="AE21" i="2"/>
  <c r="AE25" i="2" s="1"/>
  <c r="AF37" i="2"/>
  <c r="AG13" i="2"/>
  <c r="AF16" i="2"/>
  <c r="AF39" i="2" s="1"/>
  <c r="AF19" i="2"/>
  <c r="AC11" i="2"/>
  <c r="AC76" i="2" s="1"/>
  <c r="AC70" i="2" s="1"/>
  <c r="AF62" i="2"/>
  <c r="AE11" i="2"/>
  <c r="AE76" i="2" s="1"/>
  <c r="AE70" i="2" s="1"/>
  <c r="AB29" i="2"/>
  <c r="AB31" i="2" s="1"/>
  <c r="AB33" i="2" s="1"/>
  <c r="AB35" i="2" s="1"/>
  <c r="AD11" i="2"/>
  <c r="AD76" i="2" s="1"/>
  <c r="AD70" i="2" s="1"/>
  <c r="AA43" i="2"/>
  <c r="AA29" i="2"/>
  <c r="AA31" i="2" s="1"/>
  <c r="AA33" i="2" s="1"/>
  <c r="AA35" i="2" s="1"/>
  <c r="Z43" i="2"/>
  <c r="Z29" i="2"/>
  <c r="Z31" i="2" s="1"/>
  <c r="Z33" i="2" s="1"/>
  <c r="Z35" i="2" s="1"/>
  <c r="Y43" i="2"/>
  <c r="Y29" i="2"/>
  <c r="Y31" i="2" s="1"/>
  <c r="X43" i="2"/>
  <c r="X29" i="2"/>
  <c r="X31" i="2" s="1"/>
  <c r="X33" i="2" s="1"/>
  <c r="X35" i="2" s="1"/>
  <c r="O43" i="2"/>
  <c r="F43" i="2"/>
  <c r="E43" i="2"/>
  <c r="M43" i="2"/>
  <c r="N43" i="2"/>
  <c r="G43" i="2"/>
  <c r="T29" i="2"/>
  <c r="T31" i="2" s="1"/>
  <c r="T33" i="2" s="1"/>
  <c r="T35" i="2" s="1"/>
  <c r="Q29" i="2"/>
  <c r="Q31" i="2" s="1"/>
  <c r="Q33" i="2" s="1"/>
  <c r="Q35" i="2" s="1"/>
  <c r="I29" i="2"/>
  <c r="I31" i="2" s="1"/>
  <c r="I33" i="2" s="1"/>
  <c r="I35" i="2" s="1"/>
  <c r="C43" i="2"/>
  <c r="C29" i="2"/>
  <c r="C31" i="2" s="1"/>
  <c r="C33" i="2" s="1"/>
  <c r="C35" i="2" s="1"/>
  <c r="B43" i="2"/>
  <c r="B29" i="2"/>
  <c r="B31" i="2" s="1"/>
  <c r="B33" i="2" s="1"/>
  <c r="B35" i="2" s="1"/>
  <c r="S43" i="2"/>
  <c r="S29" i="2"/>
  <c r="S31" i="2" s="1"/>
  <c r="S33" i="2" s="1"/>
  <c r="S35" i="2" s="1"/>
  <c r="K43" i="2"/>
  <c r="K29" i="2"/>
  <c r="K31" i="2" s="1"/>
  <c r="K33" i="2" s="1"/>
  <c r="K35" i="2" s="1"/>
  <c r="D43" i="2"/>
  <c r="D29" i="2"/>
  <c r="D31" i="2" s="1"/>
  <c r="D33" i="2" s="1"/>
  <c r="D35" i="2" s="1"/>
  <c r="P29" i="2"/>
  <c r="P31" i="2" s="1"/>
  <c r="P33" i="2" s="1"/>
  <c r="P35" i="2" s="1"/>
  <c r="P43" i="2"/>
  <c r="R43" i="2"/>
  <c r="R29" i="2"/>
  <c r="R31" i="2" s="1"/>
  <c r="R33" i="2" s="1"/>
  <c r="R35" i="2" s="1"/>
  <c r="J43" i="2"/>
  <c r="J29" i="2"/>
  <c r="J31" i="2" s="1"/>
  <c r="J33" i="2" s="1"/>
  <c r="J35" i="2" s="1"/>
  <c r="L43" i="2"/>
  <c r="L29" i="2"/>
  <c r="L31" i="2" s="1"/>
  <c r="L33" i="2" s="1"/>
  <c r="L35" i="2" s="1"/>
  <c r="AD29" i="2" l="1"/>
  <c r="AH22" i="2"/>
  <c r="AG24" i="2"/>
  <c r="AC29" i="2"/>
  <c r="AH14" i="2"/>
  <c r="AG38" i="2"/>
  <c r="AG20" i="2"/>
  <c r="AG42" i="2" s="1"/>
  <c r="AE43" i="2"/>
  <c r="AE29" i="2"/>
  <c r="AF41" i="2"/>
  <c r="AF21" i="2"/>
  <c r="AF25" i="2" s="1"/>
  <c r="AH13" i="2"/>
  <c r="AG16" i="2"/>
  <c r="AG39" i="2" s="1"/>
  <c r="AG19" i="2"/>
  <c r="AG37" i="2"/>
  <c r="AG62" i="2"/>
  <c r="AF11" i="2"/>
  <c r="AF76" i="2" s="1"/>
  <c r="AF70" i="2" s="1"/>
  <c r="Y33" i="2"/>
  <c r="Y35" i="2" s="1"/>
  <c r="AE30" i="2" l="1"/>
  <c r="AE31" i="2" s="1"/>
  <c r="AD30" i="2"/>
  <c r="AD31" i="2" s="1"/>
  <c r="AC30" i="2"/>
  <c r="AC31" i="2" s="1"/>
  <c r="AI22" i="2"/>
  <c r="AI24" i="2" s="1"/>
  <c r="AH24" i="2"/>
  <c r="AI14" i="2"/>
  <c r="AH20" i="2"/>
  <c r="AH42" i="2" s="1"/>
  <c r="AH38" i="2"/>
  <c r="AG41" i="2"/>
  <c r="AG21" i="2"/>
  <c r="AG25" i="2" s="1"/>
  <c r="AF43" i="2"/>
  <c r="AF29" i="2"/>
  <c r="AI13" i="2"/>
  <c r="AH16" i="2"/>
  <c r="AH39" i="2" s="1"/>
  <c r="AH19" i="2"/>
  <c r="AH37" i="2"/>
  <c r="AH62" i="2"/>
  <c r="AG11" i="2"/>
  <c r="AG76" i="2" s="1"/>
  <c r="AF30" i="2" l="1"/>
  <c r="AF31" i="2" s="1"/>
  <c r="AE32" i="2"/>
  <c r="AE33" i="2" s="1"/>
  <c r="AE35" i="2" s="1"/>
  <c r="AD32" i="2"/>
  <c r="AD33" i="2" s="1"/>
  <c r="AD35" i="2" s="1"/>
  <c r="AC32" i="2"/>
  <c r="AC33" i="2" s="1"/>
  <c r="AI20" i="2"/>
  <c r="AI42" i="2" s="1"/>
  <c r="AI38" i="2"/>
  <c r="AH41" i="2"/>
  <c r="AH21" i="2"/>
  <c r="AH25" i="2" s="1"/>
  <c r="AI19" i="2"/>
  <c r="AI37" i="2"/>
  <c r="AI16" i="2"/>
  <c r="AI39" i="2" s="1"/>
  <c r="AG29" i="2"/>
  <c r="AG43" i="2"/>
  <c r="AI62" i="2"/>
  <c r="AI11" i="2" s="1"/>
  <c r="AI76" i="2" s="1"/>
  <c r="AH11" i="2"/>
  <c r="AH76" i="2" s="1"/>
  <c r="AH70" i="2" s="1"/>
  <c r="AG70" i="2"/>
  <c r="AF32" i="2" l="1"/>
  <c r="AF33" i="2" s="1"/>
  <c r="AF35" i="2" s="1"/>
  <c r="AG30" i="2"/>
  <c r="AG31" i="2" s="1"/>
  <c r="AC35" i="2"/>
  <c r="AI41" i="2"/>
  <c r="AI21" i="2"/>
  <c r="AI25" i="2" s="1"/>
  <c r="AH43" i="2"/>
  <c r="AH29" i="2"/>
  <c r="AI70" i="2"/>
  <c r="AJ76" i="2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BK76" i="2" s="1"/>
  <c r="BL76" i="2" s="1"/>
  <c r="BM76" i="2" s="1"/>
  <c r="BN76" i="2" s="1"/>
  <c r="BO76" i="2" s="1"/>
  <c r="BP76" i="2" s="1"/>
  <c r="BQ76" i="2" s="1"/>
  <c r="BR76" i="2" s="1"/>
  <c r="BS76" i="2" s="1"/>
  <c r="BT76" i="2" s="1"/>
  <c r="BU76" i="2" s="1"/>
  <c r="BV76" i="2" s="1"/>
  <c r="BW76" i="2" s="1"/>
  <c r="BX76" i="2" s="1"/>
  <c r="BY76" i="2" s="1"/>
  <c r="BZ76" i="2" s="1"/>
  <c r="CA76" i="2" s="1"/>
  <c r="CB76" i="2" s="1"/>
  <c r="CC76" i="2" s="1"/>
  <c r="CD76" i="2" s="1"/>
  <c r="CE76" i="2" s="1"/>
  <c r="CF76" i="2" s="1"/>
  <c r="CG76" i="2" s="1"/>
  <c r="CH76" i="2" s="1"/>
  <c r="CI76" i="2" s="1"/>
  <c r="CJ76" i="2" s="1"/>
  <c r="CK76" i="2" s="1"/>
  <c r="CL76" i="2" s="1"/>
  <c r="CM76" i="2" s="1"/>
  <c r="CN76" i="2" s="1"/>
  <c r="CO76" i="2" s="1"/>
  <c r="CP76" i="2" s="1"/>
  <c r="CQ76" i="2" s="1"/>
  <c r="CR76" i="2" s="1"/>
  <c r="CS76" i="2" s="1"/>
  <c r="CT76" i="2" s="1"/>
  <c r="CU76" i="2" s="1"/>
  <c r="CV76" i="2" s="1"/>
  <c r="CW76" i="2" s="1"/>
  <c r="CX76" i="2" s="1"/>
  <c r="CY76" i="2" s="1"/>
  <c r="CZ76" i="2" s="1"/>
  <c r="DA76" i="2" s="1"/>
  <c r="DB76" i="2" s="1"/>
  <c r="DC76" i="2" s="1"/>
  <c r="AG32" i="2" l="1"/>
  <c r="AG33" i="2" s="1"/>
  <c r="AH30" i="2"/>
  <c r="AH31" i="2" s="1"/>
  <c r="AI43" i="2"/>
  <c r="AI29" i="2"/>
  <c r="AM74" i="2"/>
  <c r="AH32" i="2" l="1"/>
  <c r="AH33" i="2" s="1"/>
  <c r="AG35" i="2"/>
  <c r="AI30" i="2"/>
  <c r="AI31" i="2" s="1"/>
  <c r="AI32" i="2" l="1"/>
  <c r="AI33" i="2" s="1"/>
  <c r="AH35" i="2"/>
  <c r="AI35" i="2" l="1"/>
  <c r="AJ33" i="2"/>
  <c r="AK33" i="2" l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AL4" i="2" l="1"/>
  <c r="AL6" i="2" s="1"/>
  <c r="AL7" i="2" s="1"/>
</calcChain>
</file>

<file path=xl/sharedStrings.xml><?xml version="1.0" encoding="utf-8"?>
<sst xmlns="http://schemas.openxmlformats.org/spreadsheetml/2006/main" count="171" uniqueCount="165">
  <si>
    <t>ticket</t>
  </si>
  <si>
    <t>price</t>
  </si>
  <si>
    <t>shares</t>
  </si>
  <si>
    <t>mc</t>
  </si>
  <si>
    <t>cash</t>
  </si>
  <si>
    <t>debt</t>
  </si>
  <si>
    <t>ev</t>
  </si>
  <si>
    <t>DIS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</si>
  <si>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</si>
  <si>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</si>
  <si>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</si>
  <si>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</si>
  <si>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</si>
  <si>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</si>
  <si>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</si>
  <si>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</si>
  <si>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</si>
  <si>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</si>
  <si>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</si>
  <si>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</si>
  <si>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</si>
  <si>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</si>
  <si>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</si>
  <si>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</si>
  <si>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</si>
  <si>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</si>
  <si>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</si>
  <si>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</si>
  <si>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Services</t>
  </si>
  <si>
    <t>Products</t>
  </si>
  <si>
    <t>Revenue</t>
  </si>
  <si>
    <t>COGS services</t>
  </si>
  <si>
    <t>COGS products</t>
  </si>
  <si>
    <t>Gross Profit Services</t>
  </si>
  <si>
    <t>Gross Profit Products</t>
  </si>
  <si>
    <t>Total Gross Profit</t>
  </si>
  <si>
    <t>S,G&amp;A</t>
  </si>
  <si>
    <t>D&amp;A</t>
  </si>
  <si>
    <t>Total Opex</t>
  </si>
  <si>
    <t>Operating Income</t>
  </si>
  <si>
    <t>Other income</t>
  </si>
  <si>
    <t>Net Interest</t>
  </si>
  <si>
    <t>Equity investments</t>
  </si>
  <si>
    <t>Pretax Income</t>
  </si>
  <si>
    <t>Taxes</t>
  </si>
  <si>
    <t>Net Income</t>
  </si>
  <si>
    <t>Shares</t>
  </si>
  <si>
    <t>EPS</t>
  </si>
  <si>
    <t>Services Y/Y</t>
  </si>
  <si>
    <t>Products Y/Y</t>
  </si>
  <si>
    <t>Revenue Y/Y</t>
  </si>
  <si>
    <t>Gross Margin Services</t>
  </si>
  <si>
    <t>Gross Margin Products</t>
  </si>
  <si>
    <t>Operating Margin</t>
  </si>
  <si>
    <t xml:space="preserve">Non Controlling </t>
  </si>
  <si>
    <t>Net Income to shareh/</t>
  </si>
  <si>
    <t>net cash</t>
  </si>
  <si>
    <t>CFFO</t>
  </si>
  <si>
    <t>CAPEX</t>
  </si>
  <si>
    <t>SBC</t>
  </si>
  <si>
    <t>FCF</t>
  </si>
  <si>
    <t>Entertainment</t>
  </si>
  <si>
    <t>Sports</t>
  </si>
  <si>
    <t>Experiences</t>
  </si>
  <si>
    <t>Entertainment OM</t>
  </si>
  <si>
    <t>Sports OM</t>
  </si>
  <si>
    <t>Experiences OM</t>
  </si>
  <si>
    <t>Disney + NA subs</t>
  </si>
  <si>
    <t>Disney + International</t>
  </si>
  <si>
    <t>Disney + Hotstar</t>
  </si>
  <si>
    <t>SVOD</t>
  </si>
  <si>
    <t>Live TV + SVOD</t>
  </si>
  <si>
    <t>Total Subscribers</t>
  </si>
  <si>
    <t>AMR per subscriber</t>
  </si>
  <si>
    <t>Disney + NA AMR</t>
  </si>
  <si>
    <t>Disney + International AMR</t>
  </si>
  <si>
    <t>Disney + Hotstar AMR</t>
  </si>
  <si>
    <t>SVOD AMR</t>
  </si>
  <si>
    <t>Live TV + SVOD AMR</t>
  </si>
  <si>
    <t>Direct to Costumer</t>
  </si>
  <si>
    <t>Country</t>
  </si>
  <si>
    <t>Population (2024 Estimate)</t>
  </si>
  <si>
    <t>Australia</t>
  </si>
  <si>
    <t>New Zealand</t>
  </si>
  <si>
    <t>United Kingdom</t>
  </si>
  <si>
    <t>Ireland</t>
  </si>
  <si>
    <t>Germany</t>
  </si>
  <si>
    <t>Austria</t>
  </si>
  <si>
    <t>Switzerland</t>
  </si>
  <si>
    <t>France</t>
  </si>
  <si>
    <t>Italy</t>
  </si>
  <si>
    <t>Spain</t>
  </si>
  <si>
    <t>Netherlands</t>
  </si>
  <si>
    <t>Belgium</t>
  </si>
  <si>
    <t>Luxembourg</t>
  </si>
  <si>
    <t>Denmark</t>
  </si>
  <si>
    <t>Norway</t>
  </si>
  <si>
    <t>Sweden</t>
  </si>
  <si>
    <t>Finland</t>
  </si>
  <si>
    <t>Iceland</t>
  </si>
  <si>
    <t>India</t>
  </si>
  <si>
    <t>Indonesia</t>
  </si>
  <si>
    <t>Japan</t>
  </si>
  <si>
    <t>Malaysia</t>
  </si>
  <si>
    <t>Thailand</t>
  </si>
  <si>
    <t>Singapore</t>
  </si>
  <si>
    <t>Philippines</t>
  </si>
  <si>
    <t>South Korea</t>
  </si>
  <si>
    <t>Hong Kong</t>
  </si>
  <si>
    <t>Taiwan</t>
  </si>
  <si>
    <t>Brazil</t>
  </si>
  <si>
    <t>Argentina</t>
  </si>
  <si>
    <t>Chile</t>
  </si>
  <si>
    <t>Colombia</t>
  </si>
  <si>
    <t>Mexico</t>
  </si>
  <si>
    <t>Peru</t>
  </si>
  <si>
    <t>Costa Rica</t>
  </si>
  <si>
    <t>Uruguay</t>
  </si>
  <si>
    <t>Portugal</t>
  </si>
  <si>
    <t>Poland</t>
  </si>
  <si>
    <t>Hungary</t>
  </si>
  <si>
    <t>Czech Republic</t>
  </si>
  <si>
    <t>Slovakia</t>
  </si>
  <si>
    <t>Romania</t>
  </si>
  <si>
    <t>Greece</t>
  </si>
  <si>
    <t>Turkey</t>
  </si>
  <si>
    <t>South Africa</t>
  </si>
  <si>
    <t>United Arab Emirates</t>
  </si>
  <si>
    <t>Saudi Arabia</t>
  </si>
  <si>
    <t>Qatar</t>
  </si>
  <si>
    <t>Israel</t>
  </si>
  <si>
    <t>Morocco</t>
  </si>
  <si>
    <t>Egypt</t>
  </si>
  <si>
    <t>Algeria</t>
  </si>
  <si>
    <t>Tunisia</t>
  </si>
  <si>
    <t>Venezuela</t>
  </si>
  <si>
    <t>Bolivia</t>
  </si>
  <si>
    <t>Paraguay</t>
  </si>
  <si>
    <t>Dominican Republic</t>
  </si>
  <si>
    <t>Ecuador</t>
  </si>
  <si>
    <t>Panama</t>
  </si>
  <si>
    <t>Puerto Rico</t>
  </si>
  <si>
    <t>Trinidad and Tobago</t>
  </si>
  <si>
    <t>Jamaica</t>
  </si>
  <si>
    <t>Disney + Subs</t>
  </si>
  <si>
    <t>United States &amp;  Canada</t>
  </si>
  <si>
    <t>% Population</t>
  </si>
  <si>
    <t>% Penetration</t>
  </si>
  <si>
    <t>Number subs 2030</t>
  </si>
  <si>
    <t>Population Estimate 
2030</t>
  </si>
  <si>
    <t xml:space="preserve">CEO </t>
  </si>
  <si>
    <t>Robert A.Ieger</t>
  </si>
  <si>
    <t>Employees 225k</t>
  </si>
  <si>
    <t>Direct to Costumer OM</t>
  </si>
  <si>
    <t>Opex</t>
  </si>
  <si>
    <t>S.G&amp;A</t>
  </si>
  <si>
    <t>NPV</t>
  </si>
  <si>
    <t xml:space="preserve">Discount </t>
  </si>
  <si>
    <t>Maturity</t>
  </si>
  <si>
    <t xml:space="preserve">Disney + potential value </t>
  </si>
  <si>
    <t>Media Networks</t>
  </si>
  <si>
    <t>Parks, Expericences and Products</t>
  </si>
  <si>
    <t>Studio Entertainment</t>
  </si>
  <si>
    <t>Direct to Consumer &amp; International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</si>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</sst>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-[$$-409]* #,##0.00_ ;_-[$$-409]* \-#,##0.00\ ;_-[$$-409]* &quot;-&quot;??_ ;_-@_ "/>
    <numFmt numFmtId="166" formatCode="#,##0.0"/>
    <numFmt numFmtId="167" formatCode="#,##0_ ;\-#,##0\ "/>
    <numFmt numFmtId="168" formatCode="_-[$$-409]* #,##0_ ;_-[$$-409]* \-#,##0\ ;_-[$$-409]* &quot;-&quot;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3" fontId="3" fillId="0" borderId="0" xfId="0" applyNumberFormat="1" applyFont="1"/>
    <xf numFmtId="164" fontId="2" fillId="0" borderId="0" xfId="0" applyNumberFormat="1" applyFont="1"/>
    <xf numFmtId="164" fontId="2" fillId="0" borderId="0" xfId="1" applyNumberFormat="1" applyFont="1"/>
    <xf numFmtId="166" fontId="2" fillId="0" borderId="0" xfId="0" applyNumberFormat="1" applyFont="1"/>
    <xf numFmtId="168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20</xdr:col>
      <xdr:colOff>9525</xdr:colOff>
      <xdr:row>59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F7CBD1D-632F-72CF-189F-ABE4B76E79DA}"/>
            </a:ext>
          </a:extLst>
        </xdr:cNvPr>
        <xdr:cNvCxnSpPr/>
      </xdr:nvCxnSpPr>
      <xdr:spPr>
        <a:xfrm>
          <a:off x="12906375" y="0"/>
          <a:ext cx="9525" cy="10239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38100</xdr:rowOff>
    </xdr:from>
    <xdr:to>
      <xdr:col>28</xdr:col>
      <xdr:colOff>9525</xdr:colOff>
      <xdr:row>73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7A53774-722F-73B3-7911-DBB9EA5AADF2}"/>
            </a:ext>
          </a:extLst>
        </xdr:cNvPr>
        <xdr:cNvCxnSpPr/>
      </xdr:nvCxnSpPr>
      <xdr:spPr>
        <a:xfrm flipH="1">
          <a:off x="18116550" y="38100"/>
          <a:ext cx="9525" cy="13096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AC8F-83E1-4180-95D4-8FCB86EFFA3D}">
  <dimension ref="A1:B10"/>
  <sheetViews>
    <sheetView workbookViewId="0">
      <selection sqref="A1:XFD1048576"/>
    </sheetView>
  </sheetViews>
  <sheetFormatPr defaultRowHeight="12.75" x14ac:dyDescent="0.2"/>
  <cols>
    <col min="1" max="16384" width="9.140625" style="1"/>
  </cols>
  <sheetData>
    <row r="1" spans="1:2" x14ac:dyDescent="0.2">
      <c r="A1" s="1" t="s">
        <v>0</v>
      </c>
      <c r="B1" s="1" t="s">
        <v>7</v>
      </c>
    </row>
    <row r="2" spans="1:2" x14ac:dyDescent="0.2">
      <c r="A2" s="1" t="s">
        <v>1</v>
      </c>
      <c r="B2" s="1">
        <v>86.21</v>
      </c>
    </row>
    <row r="3" spans="1:2" x14ac:dyDescent="0.2">
      <c r="A3" s="1" t="s">
        <v>2</v>
      </c>
      <c r="B3" s="1">
        <v>1813.5873799999999</v>
      </c>
    </row>
    <row r="4" spans="1:2" x14ac:dyDescent="0.2">
      <c r="A4" s="1" t="s">
        <v>3</v>
      </c>
      <c r="B4" s="3">
        <f>+B2*B3</f>
        <v>156349.36802979998</v>
      </c>
    </row>
    <row r="5" spans="1:2" x14ac:dyDescent="0.2">
      <c r="A5" s="1" t="s">
        <v>4</v>
      </c>
      <c r="B5" s="3">
        <f>5954+4632</f>
        <v>10586</v>
      </c>
    </row>
    <row r="6" spans="1:2" x14ac:dyDescent="0.2">
      <c r="A6" s="1" t="s">
        <v>5</v>
      </c>
      <c r="B6" s="3">
        <f>8060+39524</f>
        <v>47584</v>
      </c>
    </row>
    <row r="7" spans="1:2" x14ac:dyDescent="0.2">
      <c r="A7" s="1" t="s">
        <v>6</v>
      </c>
      <c r="B7" s="3">
        <f>+B4-B5+B6</f>
        <v>193347.36802979998</v>
      </c>
    </row>
    <row r="9" spans="1:2" x14ac:dyDescent="0.2">
      <c r="A9" s="1" t="s">
        <v>150</v>
      </c>
      <c r="B9" s="1" t="s">
        <v>151</v>
      </c>
    </row>
    <row r="10" spans="1:2" x14ac:dyDescent="0.2">
      <c r="A10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2B75-44E4-4412-A07E-AF238EE7B6D4}">
  <dimension ref="A1:DU76"/>
  <sheetViews>
    <sheetView tabSelected="1" zoomScale="90" zoomScaleNormal="9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K15" sqref="AK15"/>
    </sheetView>
  </sheetViews>
  <sheetFormatPr defaultRowHeight="12.75" x14ac:dyDescent="0.2"/>
  <cols>
    <col min="1" max="1" width="31.28515625" style="1" bestFit="1" customWidth="1"/>
    <col min="2" max="26" width="9.140625" style="1"/>
    <col min="27" max="27" width="9.140625" style="1" customWidth="1"/>
    <col min="28" max="28" width="9.140625" style="1"/>
    <col min="29" max="29" width="11.28515625" style="1" bestFit="1" customWidth="1"/>
    <col min="30" max="35" width="9.5703125" style="1" bestFit="1" customWidth="1"/>
    <col min="36" max="37" width="9.140625" style="1"/>
    <col min="38" max="38" width="11.42578125" style="1" bestFit="1" customWidth="1"/>
    <col min="39" max="39" width="12.140625" style="1" bestFit="1" customWidth="1"/>
    <col min="40" max="40" width="13.5703125" style="1" customWidth="1"/>
    <col min="41" max="16384" width="9.140625" style="1"/>
  </cols>
  <sheetData>
    <row r="1" spans="1:41" x14ac:dyDescent="0.2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X1" s="2">
        <v>2019</v>
      </c>
      <c r="Y1" s="2">
        <f>+X1+1</f>
        <v>2020</v>
      </c>
      <c r="Z1" s="2">
        <f t="shared" ref="Z1:AI1" si="0">+Y1+1</f>
        <v>2021</v>
      </c>
      <c r="AA1" s="2">
        <f t="shared" si="0"/>
        <v>2022</v>
      </c>
      <c r="AB1" s="2">
        <f t="shared" si="0"/>
        <v>2023</v>
      </c>
      <c r="AC1" s="2">
        <f t="shared" si="0"/>
        <v>2024</v>
      </c>
      <c r="AD1" s="2">
        <f t="shared" si="0"/>
        <v>2025</v>
      </c>
      <c r="AE1" s="2">
        <f t="shared" si="0"/>
        <v>2026</v>
      </c>
      <c r="AF1" s="2">
        <f t="shared" si="0"/>
        <v>2027</v>
      </c>
      <c r="AG1" s="2">
        <f t="shared" si="0"/>
        <v>2028</v>
      </c>
      <c r="AH1" s="2">
        <f t="shared" si="0"/>
        <v>2029</v>
      </c>
      <c r="AI1" s="2">
        <f t="shared" si="0"/>
        <v>2030</v>
      </c>
    </row>
    <row r="2" spans="1:41" x14ac:dyDescent="0.2">
      <c r="A2" s="1" t="s">
        <v>160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3">
        <v>24827</v>
      </c>
      <c r="Y2" s="3">
        <v>28393</v>
      </c>
      <c r="Z2" s="3"/>
      <c r="AA2" s="3"/>
      <c r="AB2" s="3"/>
      <c r="AC2" s="3"/>
      <c r="AD2" s="3"/>
      <c r="AE2" s="3"/>
      <c r="AF2" s="3"/>
      <c r="AG2" s="3"/>
      <c r="AH2" s="3"/>
      <c r="AI2" s="3"/>
      <c r="AK2" s="1" t="s">
        <v>164</v>
      </c>
      <c r="AL2" s="4">
        <v>0.09</v>
      </c>
    </row>
    <row r="3" spans="1:41" x14ac:dyDescent="0.2">
      <c r="A3" s="1" t="s">
        <v>161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X3" s="3">
        <v>26225</v>
      </c>
      <c r="Y3" s="3">
        <v>16502</v>
      </c>
      <c r="Z3" s="3"/>
      <c r="AA3" s="3"/>
      <c r="AB3" s="3"/>
      <c r="AC3" s="3"/>
      <c r="AD3" s="3"/>
      <c r="AE3" s="3"/>
      <c r="AF3" s="3"/>
      <c r="AG3" s="3"/>
      <c r="AH3" s="3"/>
      <c r="AI3" s="3"/>
      <c r="AK3" s="1" t="s">
        <v>158</v>
      </c>
      <c r="AL3" s="5">
        <v>0.01</v>
      </c>
    </row>
    <row r="4" spans="1:41" x14ac:dyDescent="0.2">
      <c r="A4" s="1" t="s">
        <v>162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3">
        <v>11127</v>
      </c>
      <c r="Y4" s="3">
        <v>9636</v>
      </c>
      <c r="Z4" s="3"/>
      <c r="AA4" s="3"/>
      <c r="AB4" s="3"/>
      <c r="AC4" s="3"/>
      <c r="AD4" s="3"/>
      <c r="AE4" s="3"/>
      <c r="AF4" s="3"/>
      <c r="AG4" s="3"/>
      <c r="AH4" s="3"/>
      <c r="AI4" s="3"/>
      <c r="AK4" s="1" t="s">
        <v>156</v>
      </c>
      <c r="AL4" s="3">
        <f>+NPV(AL2,AC33:DU33)</f>
        <v>191977.69280813477</v>
      </c>
    </row>
    <row r="5" spans="1:41" x14ac:dyDescent="0.2">
      <c r="A5" s="1" t="s">
        <v>163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X5" s="3">
        <v>9386</v>
      </c>
      <c r="Y5" s="3">
        <v>16967</v>
      </c>
      <c r="Z5" s="3"/>
      <c r="AA5" s="3"/>
      <c r="AB5" s="3"/>
      <c r="AC5" s="3"/>
      <c r="AD5" s="3"/>
      <c r="AE5" s="3"/>
      <c r="AF5" s="3"/>
      <c r="AG5" s="3"/>
      <c r="AH5" s="3"/>
      <c r="AI5" s="3"/>
      <c r="AK5" s="1" t="s">
        <v>56</v>
      </c>
      <c r="AL5" s="3">
        <f>+main!B5-main!B6</f>
        <v>-36998</v>
      </c>
    </row>
    <row r="6" spans="1:4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K6" s="1" t="s">
        <v>3</v>
      </c>
      <c r="AL6" s="3">
        <f>+AL4+AL5</f>
        <v>154979.69280813477</v>
      </c>
    </row>
    <row r="7" spans="1:41" x14ac:dyDescent="0.2">
      <c r="A7" s="1" t="s">
        <v>61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10031</v>
      </c>
      <c r="Q7" s="3"/>
      <c r="R7" s="3"/>
      <c r="S7" s="3"/>
      <c r="T7" s="3">
        <v>10580</v>
      </c>
      <c r="U7" s="3"/>
      <c r="X7" s="3"/>
      <c r="Y7" s="3"/>
      <c r="Z7" s="3">
        <v>36489</v>
      </c>
      <c r="AA7" s="3">
        <v>39569</v>
      </c>
      <c r="AB7" s="3">
        <v>40635</v>
      </c>
      <c r="AC7" s="3"/>
      <c r="AD7" s="3"/>
      <c r="AE7" s="3"/>
      <c r="AF7" s="3"/>
      <c r="AG7" s="3"/>
      <c r="AH7" s="3"/>
      <c r="AI7" s="3"/>
      <c r="AK7" s="1" t="s">
        <v>1</v>
      </c>
      <c r="AL7" s="6">
        <f>+AL6/main!B3</f>
        <v>85.454770206955658</v>
      </c>
    </row>
    <row r="8" spans="1:41" x14ac:dyDescent="0.2">
      <c r="A8" s="1" t="s">
        <v>62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4335</v>
      </c>
      <c r="Q8" s="3"/>
      <c r="R8" s="3"/>
      <c r="S8" s="3"/>
      <c r="T8" s="3">
        <v>4558</v>
      </c>
      <c r="U8" s="3"/>
      <c r="X8" s="3"/>
      <c r="Y8" s="3"/>
      <c r="Z8" s="3">
        <v>15960</v>
      </c>
      <c r="AA8" s="3">
        <v>17270</v>
      </c>
      <c r="AB8" s="3">
        <v>17111</v>
      </c>
      <c r="AC8" s="3"/>
      <c r="AD8" s="3"/>
      <c r="AE8" s="3"/>
      <c r="AF8" s="3"/>
      <c r="AG8" s="3"/>
      <c r="AH8" s="3"/>
      <c r="AI8" s="3"/>
    </row>
    <row r="9" spans="1:41" x14ac:dyDescent="0.2">
      <c r="A9" s="1" t="s">
        <v>63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22330</v>
      </c>
      <c r="Q9" s="3"/>
      <c r="R9" s="3"/>
      <c r="S9" s="3"/>
      <c r="T9" s="3">
        <v>8386</v>
      </c>
      <c r="U9" s="3"/>
      <c r="X9" s="3"/>
      <c r="Y9" s="3"/>
      <c r="Z9" s="3">
        <v>15961</v>
      </c>
      <c r="AA9" s="3">
        <v>28085</v>
      </c>
      <c r="AB9" s="3">
        <v>32549</v>
      </c>
      <c r="AC9" s="3"/>
      <c r="AD9" s="3"/>
      <c r="AE9" s="3"/>
      <c r="AF9" s="3"/>
      <c r="AG9" s="3"/>
      <c r="AH9" s="3"/>
      <c r="AI9" s="3"/>
    </row>
    <row r="11" spans="1:41" x14ac:dyDescent="0.2">
      <c r="A11" s="1" t="s">
        <v>79</v>
      </c>
      <c r="P11" s="3">
        <v>5045</v>
      </c>
      <c r="T11" s="1">
        <v>5805</v>
      </c>
      <c r="Y11" s="1">
        <v>10552</v>
      </c>
      <c r="Z11" s="3">
        <v>16319</v>
      </c>
      <c r="AA11" s="3">
        <v>17975</v>
      </c>
      <c r="AB11" s="3">
        <v>19886</v>
      </c>
      <c r="AC11" s="7">
        <f>+(AC61*AC62)*12</f>
        <v>25772.255999999994</v>
      </c>
      <c r="AD11" s="7">
        <f t="shared" ref="AD11:AI11" si="1">+(AD61*AD62)*12</f>
        <v>29230.892755200002</v>
      </c>
      <c r="AE11" s="7">
        <f t="shared" si="1"/>
        <v>33153.67856294784</v>
      </c>
      <c r="AF11" s="7">
        <f t="shared" si="1"/>
        <v>37427.187729711819</v>
      </c>
      <c r="AG11" s="7">
        <f t="shared" si="1"/>
        <v>42251.552228071676</v>
      </c>
      <c r="AH11" s="7">
        <f t="shared" si="1"/>
        <v>47697.777310270103</v>
      </c>
      <c r="AI11" s="7">
        <f t="shared" si="1"/>
        <v>53846.020805563923</v>
      </c>
      <c r="AL11" s="1">
        <v>60000</v>
      </c>
      <c r="AM11" s="1">
        <v>0.223</v>
      </c>
      <c r="AN11" s="3">
        <f>+AM11*AL11</f>
        <v>13380</v>
      </c>
    </row>
    <row r="12" spans="1:4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M12" s="1">
        <v>0.19</v>
      </c>
      <c r="AN12" s="3">
        <f>+AM12*AL11</f>
        <v>11400</v>
      </c>
      <c r="AO12" s="3">
        <f>+AN12-AN11</f>
        <v>-1980</v>
      </c>
    </row>
    <row r="13" spans="1:41" x14ac:dyDescent="0.2">
      <c r="A13" s="1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20008</v>
      </c>
      <c r="Q13" s="3"/>
      <c r="R13" s="3"/>
      <c r="S13" s="3"/>
      <c r="T13" s="3">
        <v>20836</v>
      </c>
      <c r="U13" s="3"/>
      <c r="X13" s="3">
        <v>60542</v>
      </c>
      <c r="Y13" s="3">
        <v>59625</v>
      </c>
      <c r="Z13" s="3">
        <v>61768</v>
      </c>
      <c r="AA13" s="3">
        <v>74200</v>
      </c>
      <c r="AB13" s="3">
        <v>79562</v>
      </c>
      <c r="AC13" s="3">
        <f>+AB13*1.07</f>
        <v>85131.340000000011</v>
      </c>
      <c r="AD13" s="3">
        <f t="shared" ref="AD13:AI13" si="2">+AC13*1.075</f>
        <v>91516.190500000012</v>
      </c>
      <c r="AE13" s="3">
        <f t="shared" si="2"/>
        <v>98379.904787500011</v>
      </c>
      <c r="AF13" s="3">
        <f t="shared" si="2"/>
        <v>105758.3976465625</v>
      </c>
      <c r="AG13" s="3">
        <f t="shared" si="2"/>
        <v>113690.27747005469</v>
      </c>
      <c r="AH13" s="3">
        <f t="shared" si="2"/>
        <v>122217.04828030878</v>
      </c>
      <c r="AI13" s="3">
        <f t="shared" si="2"/>
        <v>131383.32690133192</v>
      </c>
    </row>
    <row r="14" spans="1:41" x14ac:dyDescent="0.2">
      <c r="A14" s="1" t="s">
        <v>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2322</v>
      </c>
      <c r="Q14" s="3"/>
      <c r="R14" s="3"/>
      <c r="S14" s="3"/>
      <c r="T14" s="3">
        <v>2319</v>
      </c>
      <c r="U14" s="3"/>
      <c r="X14" s="3">
        <v>9028</v>
      </c>
      <c r="Y14" s="3">
        <v>6123</v>
      </c>
      <c r="Z14" s="3">
        <v>5650</v>
      </c>
      <c r="AA14" s="3">
        <v>8522</v>
      </c>
      <c r="AB14" s="3">
        <v>9336</v>
      </c>
      <c r="AC14" s="3">
        <f>+AB14*1.06</f>
        <v>9896.16</v>
      </c>
      <c r="AD14" s="3">
        <f t="shared" ref="AD14:AI14" si="3">+AC14*1.06</f>
        <v>10489.929599999999</v>
      </c>
      <c r="AE14" s="3">
        <f t="shared" si="3"/>
        <v>11119.325376000001</v>
      </c>
      <c r="AF14" s="3">
        <f t="shared" si="3"/>
        <v>11786.484898560002</v>
      </c>
      <c r="AG14" s="3">
        <f t="shared" si="3"/>
        <v>12493.673992473603</v>
      </c>
      <c r="AH14" s="3">
        <f t="shared" si="3"/>
        <v>13243.294432022019</v>
      </c>
      <c r="AI14" s="3">
        <f t="shared" si="3"/>
        <v>14037.892097943341</v>
      </c>
    </row>
    <row r="15" spans="1:41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41" x14ac:dyDescent="0.2">
      <c r="A16" s="2" t="s">
        <v>30</v>
      </c>
      <c r="B16" s="8">
        <f t="shared" ref="B16:S16" si="4">+B13+B14</f>
        <v>0</v>
      </c>
      <c r="C16" s="8">
        <f t="shared" si="4"/>
        <v>0</v>
      </c>
      <c r="D16" s="8">
        <f t="shared" si="4"/>
        <v>0</v>
      </c>
      <c r="E16" s="8">
        <f t="shared" si="4"/>
        <v>0</v>
      </c>
      <c r="F16" s="8">
        <f t="shared" si="4"/>
        <v>0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 t="shared" si="4"/>
        <v>0</v>
      </c>
      <c r="K16" s="8">
        <f t="shared" si="4"/>
        <v>0</v>
      </c>
      <c r="L16" s="8">
        <f t="shared" si="4"/>
        <v>0</v>
      </c>
      <c r="M16" s="8">
        <f t="shared" si="4"/>
        <v>0</v>
      </c>
      <c r="N16" s="8">
        <f t="shared" si="4"/>
        <v>0</v>
      </c>
      <c r="O16" s="8">
        <f t="shared" si="4"/>
        <v>0</v>
      </c>
      <c r="P16" s="8">
        <f t="shared" si="4"/>
        <v>22330</v>
      </c>
      <c r="Q16" s="8">
        <f t="shared" si="4"/>
        <v>0</v>
      </c>
      <c r="R16" s="8">
        <f t="shared" si="4"/>
        <v>0</v>
      </c>
      <c r="S16" s="8">
        <f t="shared" si="4"/>
        <v>0</v>
      </c>
      <c r="T16" s="8">
        <f>+T13+T14</f>
        <v>23155</v>
      </c>
      <c r="U16" s="8">
        <f t="shared" ref="U16" si="5">+U13+U14</f>
        <v>0</v>
      </c>
      <c r="X16" s="8">
        <f t="shared" ref="X16:AI16" si="6">+X13+X14</f>
        <v>69570</v>
      </c>
      <c r="Y16" s="8">
        <f t="shared" si="6"/>
        <v>65748</v>
      </c>
      <c r="Z16" s="8">
        <f t="shared" si="6"/>
        <v>67418</v>
      </c>
      <c r="AA16" s="8">
        <f t="shared" si="6"/>
        <v>82722</v>
      </c>
      <c r="AB16" s="8">
        <f t="shared" si="6"/>
        <v>88898</v>
      </c>
      <c r="AC16" s="8">
        <f t="shared" si="6"/>
        <v>95027.500000000015</v>
      </c>
      <c r="AD16" s="8">
        <f t="shared" si="6"/>
        <v>102006.12010000001</v>
      </c>
      <c r="AE16" s="8">
        <f t="shared" si="6"/>
        <v>109499.2301635</v>
      </c>
      <c r="AF16" s="8">
        <f t="shared" si="6"/>
        <v>117544.8825451225</v>
      </c>
      <c r="AG16" s="8">
        <f t="shared" si="6"/>
        <v>126183.95146252829</v>
      </c>
      <c r="AH16" s="8">
        <f t="shared" si="6"/>
        <v>135460.34271233081</v>
      </c>
      <c r="AI16" s="8">
        <f t="shared" si="6"/>
        <v>145421.21899927527</v>
      </c>
    </row>
    <row r="17" spans="1:35" x14ac:dyDescent="0.2">
      <c r="A17" s="1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12974</v>
      </c>
      <c r="Q17" s="3"/>
      <c r="R17" s="3"/>
      <c r="S17" s="3"/>
      <c r="T17" s="3">
        <v>13236</v>
      </c>
      <c r="U17" s="3"/>
      <c r="X17" s="3">
        <v>36450</v>
      </c>
      <c r="Y17" s="3">
        <v>39406</v>
      </c>
      <c r="Z17" s="3">
        <v>41129</v>
      </c>
      <c r="AA17" s="3">
        <v>48962</v>
      </c>
      <c r="AB17" s="3">
        <v>53139</v>
      </c>
      <c r="AC17" s="3">
        <f>+AC13*0.64</f>
        <v>54484.057600000007</v>
      </c>
      <c r="AD17" s="3">
        <f>+AD13*0.625</f>
        <v>57197.619062500009</v>
      </c>
      <c r="AE17" s="3">
        <f>+AE13*0.615</f>
        <v>60503.641444312503</v>
      </c>
      <c r="AF17" s="3">
        <f>+AF13*0.61</f>
        <v>64512.622564403122</v>
      </c>
      <c r="AG17" s="3">
        <f>+AG13*0.605</f>
        <v>68782.617869383088</v>
      </c>
      <c r="AH17" s="3">
        <f t="shared" ref="AH17:AI17" si="7">+AH13*0.605</f>
        <v>73941.31420958681</v>
      </c>
      <c r="AI17" s="3">
        <f t="shared" si="7"/>
        <v>79486.912775305813</v>
      </c>
    </row>
    <row r="18" spans="1:35" x14ac:dyDescent="0.2">
      <c r="A18" s="1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1497</v>
      </c>
      <c r="Q18" s="3"/>
      <c r="R18" s="3"/>
      <c r="S18" s="3"/>
      <c r="T18" s="3">
        <v>1473</v>
      </c>
      <c r="U18" s="3"/>
      <c r="X18" s="3">
        <v>5568</v>
      </c>
      <c r="Y18" s="3">
        <v>4474</v>
      </c>
      <c r="Z18" s="3">
        <v>4002</v>
      </c>
      <c r="AA18" s="3">
        <v>5439</v>
      </c>
      <c r="AB18" s="3">
        <v>6062</v>
      </c>
      <c r="AC18" s="3">
        <f>+AC14*0.66</f>
        <v>6531.4656000000004</v>
      </c>
      <c r="AD18" s="3">
        <f>+AD14*0.645</f>
        <v>6766.0045920000002</v>
      </c>
      <c r="AE18" s="3">
        <f>+AE14*0.62</f>
        <v>6893.9817331200002</v>
      </c>
      <c r="AF18" s="3">
        <f t="shared" ref="AF18:AI18" si="8">+AF14*0.62</f>
        <v>7307.6206371072012</v>
      </c>
      <c r="AG18" s="3">
        <f t="shared" si="8"/>
        <v>7746.0778753336335</v>
      </c>
      <c r="AH18" s="3">
        <f t="shared" si="8"/>
        <v>8210.8425478536519</v>
      </c>
      <c r="AI18" s="3">
        <f t="shared" si="8"/>
        <v>8703.4931007248706</v>
      </c>
    </row>
    <row r="19" spans="1:35" x14ac:dyDescent="0.2">
      <c r="A19" s="1" t="s">
        <v>33</v>
      </c>
      <c r="B19" s="3">
        <f t="shared" ref="B19:S20" si="9">+B13-B17</f>
        <v>0</v>
      </c>
      <c r="C19" s="3">
        <f t="shared" si="9"/>
        <v>0</v>
      </c>
      <c r="D19" s="3">
        <f t="shared" si="9"/>
        <v>0</v>
      </c>
      <c r="E19" s="3">
        <f t="shared" si="9"/>
        <v>0</v>
      </c>
      <c r="F19" s="3">
        <f t="shared" si="9"/>
        <v>0</v>
      </c>
      <c r="G19" s="3">
        <f t="shared" si="9"/>
        <v>0</v>
      </c>
      <c r="H19" s="3">
        <f t="shared" si="9"/>
        <v>0</v>
      </c>
      <c r="I19" s="3">
        <f t="shared" si="9"/>
        <v>0</v>
      </c>
      <c r="J19" s="3">
        <f t="shared" si="9"/>
        <v>0</v>
      </c>
      <c r="K19" s="3">
        <f t="shared" si="9"/>
        <v>0</v>
      </c>
      <c r="L19" s="3">
        <f t="shared" si="9"/>
        <v>0</v>
      </c>
      <c r="M19" s="3">
        <f t="shared" si="9"/>
        <v>0</v>
      </c>
      <c r="N19" s="3">
        <f t="shared" si="9"/>
        <v>0</v>
      </c>
      <c r="O19" s="3">
        <f t="shared" si="9"/>
        <v>0</v>
      </c>
      <c r="P19" s="3">
        <f t="shared" si="9"/>
        <v>7034</v>
      </c>
      <c r="Q19" s="3">
        <f t="shared" si="9"/>
        <v>0</v>
      </c>
      <c r="R19" s="3">
        <f t="shared" si="9"/>
        <v>0</v>
      </c>
      <c r="S19" s="3">
        <f t="shared" si="9"/>
        <v>0</v>
      </c>
      <c r="T19" s="3">
        <f>+T13-T17</f>
        <v>7600</v>
      </c>
      <c r="U19" s="3">
        <f>+U13-U17</f>
        <v>0</v>
      </c>
      <c r="X19" s="3">
        <f t="shared" ref="X19:AI19" si="10">+X13-X17</f>
        <v>24092</v>
      </c>
      <c r="Y19" s="3">
        <f t="shared" si="10"/>
        <v>20219</v>
      </c>
      <c r="Z19" s="3">
        <f t="shared" si="10"/>
        <v>20639</v>
      </c>
      <c r="AA19" s="3">
        <f t="shared" si="10"/>
        <v>25238</v>
      </c>
      <c r="AB19" s="3">
        <f t="shared" si="10"/>
        <v>26423</v>
      </c>
      <c r="AC19" s="3">
        <f>+AC13-AC17</f>
        <v>30647.282400000004</v>
      </c>
      <c r="AD19" s="3">
        <f t="shared" si="10"/>
        <v>34318.571437500003</v>
      </c>
      <c r="AE19" s="3">
        <f t="shared" si="10"/>
        <v>37876.263343187507</v>
      </c>
      <c r="AF19" s="3">
        <f t="shared" si="10"/>
        <v>41245.77508215938</v>
      </c>
      <c r="AG19" s="3">
        <f t="shared" si="10"/>
        <v>44907.659600671599</v>
      </c>
      <c r="AH19" s="3">
        <f t="shared" si="10"/>
        <v>48275.73407072197</v>
      </c>
      <c r="AI19" s="3">
        <f t="shared" si="10"/>
        <v>51896.414126026109</v>
      </c>
    </row>
    <row r="20" spans="1:35" x14ac:dyDescent="0.2">
      <c r="A20" s="1" t="s">
        <v>34</v>
      </c>
      <c r="B20" s="3">
        <f t="shared" si="9"/>
        <v>0</v>
      </c>
      <c r="C20" s="3">
        <f t="shared" si="9"/>
        <v>0</v>
      </c>
      <c r="D20" s="3">
        <f t="shared" si="9"/>
        <v>0</v>
      </c>
      <c r="E20" s="3">
        <f t="shared" si="9"/>
        <v>0</v>
      </c>
      <c r="F20" s="3">
        <f t="shared" si="9"/>
        <v>0</v>
      </c>
      <c r="G20" s="3">
        <f t="shared" si="9"/>
        <v>0</v>
      </c>
      <c r="H20" s="3">
        <f t="shared" si="9"/>
        <v>0</v>
      </c>
      <c r="I20" s="3">
        <f t="shared" si="9"/>
        <v>0</v>
      </c>
      <c r="J20" s="3">
        <f t="shared" si="9"/>
        <v>0</v>
      </c>
      <c r="K20" s="3">
        <f t="shared" si="9"/>
        <v>0</v>
      </c>
      <c r="L20" s="3">
        <f t="shared" si="9"/>
        <v>0</v>
      </c>
      <c r="M20" s="3">
        <f t="shared" si="9"/>
        <v>0</v>
      </c>
      <c r="N20" s="3">
        <f t="shared" si="9"/>
        <v>0</v>
      </c>
      <c r="O20" s="3">
        <f t="shared" si="9"/>
        <v>0</v>
      </c>
      <c r="P20" s="3">
        <f t="shared" si="9"/>
        <v>825</v>
      </c>
      <c r="Q20" s="3">
        <f t="shared" si="9"/>
        <v>0</v>
      </c>
      <c r="R20" s="3">
        <f t="shared" si="9"/>
        <v>0</v>
      </c>
      <c r="S20" s="3">
        <f t="shared" si="9"/>
        <v>0</v>
      </c>
      <c r="T20" s="3">
        <f t="shared" ref="T20:U20" si="11">+T14-T18</f>
        <v>846</v>
      </c>
      <c r="U20" s="3">
        <f t="shared" si="11"/>
        <v>0</v>
      </c>
      <c r="X20" s="3">
        <f t="shared" ref="X20:AI20" si="12">+X14-X18</f>
        <v>3460</v>
      </c>
      <c r="Y20" s="3">
        <f t="shared" si="12"/>
        <v>1649</v>
      </c>
      <c r="Z20" s="3">
        <f t="shared" si="12"/>
        <v>1648</v>
      </c>
      <c r="AA20" s="3">
        <f t="shared" si="12"/>
        <v>3083</v>
      </c>
      <c r="AB20" s="3">
        <f t="shared" si="12"/>
        <v>3274</v>
      </c>
      <c r="AC20" s="3">
        <f t="shared" si="12"/>
        <v>3364.6943999999994</v>
      </c>
      <c r="AD20" s="3">
        <f t="shared" si="12"/>
        <v>3723.9250079999993</v>
      </c>
      <c r="AE20" s="3">
        <f t="shared" si="12"/>
        <v>4225.3436428800005</v>
      </c>
      <c r="AF20" s="3">
        <f t="shared" si="12"/>
        <v>4478.8642614528007</v>
      </c>
      <c r="AG20" s="3">
        <f t="shared" si="12"/>
        <v>4747.5961171399695</v>
      </c>
      <c r="AH20" s="3">
        <f t="shared" si="12"/>
        <v>5032.4518841683675</v>
      </c>
      <c r="AI20" s="3">
        <f t="shared" si="12"/>
        <v>5334.39899721847</v>
      </c>
    </row>
    <row r="21" spans="1:35" x14ac:dyDescent="0.2">
      <c r="A21" s="2" t="s">
        <v>35</v>
      </c>
      <c r="B21" s="8">
        <f t="shared" ref="B21:S21" si="13">+B19+B20</f>
        <v>0</v>
      </c>
      <c r="C21" s="8">
        <f t="shared" si="13"/>
        <v>0</v>
      </c>
      <c r="D21" s="8">
        <f t="shared" si="13"/>
        <v>0</v>
      </c>
      <c r="E21" s="8">
        <f t="shared" si="13"/>
        <v>0</v>
      </c>
      <c r="F21" s="8">
        <f t="shared" si="13"/>
        <v>0</v>
      </c>
      <c r="G21" s="8">
        <f t="shared" si="13"/>
        <v>0</v>
      </c>
      <c r="H21" s="8">
        <f t="shared" si="13"/>
        <v>0</v>
      </c>
      <c r="I21" s="8">
        <f t="shared" si="13"/>
        <v>0</v>
      </c>
      <c r="J21" s="8">
        <f t="shared" si="13"/>
        <v>0</v>
      </c>
      <c r="K21" s="8">
        <f t="shared" si="13"/>
        <v>0</v>
      </c>
      <c r="L21" s="8">
        <f t="shared" si="13"/>
        <v>0</v>
      </c>
      <c r="M21" s="8">
        <f t="shared" si="13"/>
        <v>0</v>
      </c>
      <c r="N21" s="8">
        <f t="shared" si="13"/>
        <v>0</v>
      </c>
      <c r="O21" s="8">
        <f t="shared" si="13"/>
        <v>0</v>
      </c>
      <c r="P21" s="8">
        <f t="shared" si="13"/>
        <v>7859</v>
      </c>
      <c r="Q21" s="8">
        <f t="shared" si="13"/>
        <v>0</v>
      </c>
      <c r="R21" s="8">
        <f t="shared" si="13"/>
        <v>0</v>
      </c>
      <c r="S21" s="8">
        <f t="shared" si="13"/>
        <v>0</v>
      </c>
      <c r="T21" s="8">
        <f>+T19+T20</f>
        <v>8446</v>
      </c>
      <c r="U21" s="8">
        <f>+U19+U20</f>
        <v>0</v>
      </c>
      <c r="X21" s="8">
        <f t="shared" ref="X21" si="14">+X19+X20</f>
        <v>27552</v>
      </c>
      <c r="Y21" s="8">
        <f t="shared" ref="Y21" si="15">+Y19+Y20</f>
        <v>21868</v>
      </c>
      <c r="Z21" s="8">
        <f t="shared" ref="Z21" si="16">+Z19+Z20</f>
        <v>22287</v>
      </c>
      <c r="AA21" s="8">
        <f t="shared" ref="AA21" si="17">+AA19+AA20</f>
        <v>28321</v>
      </c>
      <c r="AB21" s="8">
        <f t="shared" ref="AB21" si="18">+AB19+AB20</f>
        <v>29697</v>
      </c>
      <c r="AC21" s="8">
        <f t="shared" ref="AC21" si="19">+AC19+AC20</f>
        <v>34011.976800000004</v>
      </c>
      <c r="AD21" s="8">
        <f t="shared" ref="AD21" si="20">+AD19+AD20</f>
        <v>38042.496445500001</v>
      </c>
      <c r="AE21" s="8">
        <f t="shared" ref="AE21" si="21">+AE19+AE20</f>
        <v>42101.606986067505</v>
      </c>
      <c r="AF21" s="8">
        <f t="shared" ref="AF21" si="22">+AF19+AF20</f>
        <v>45724.63934361218</v>
      </c>
      <c r="AG21" s="8">
        <f t="shared" ref="AG21" si="23">+AG19+AG20</f>
        <v>49655.255717811568</v>
      </c>
      <c r="AH21" s="8">
        <f t="shared" ref="AH21" si="24">+AH19+AH20</f>
        <v>53308.185954890338</v>
      </c>
      <c r="AI21" s="8">
        <f t="shared" ref="AI21" si="25">+AI19+AI20</f>
        <v>57230.813123244581</v>
      </c>
    </row>
    <row r="22" spans="1:35" x14ac:dyDescent="0.2">
      <c r="A22" s="1" t="s">
        <v>36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3874</v>
      </c>
      <c r="Q22" s="3"/>
      <c r="R22" s="3"/>
      <c r="S22" s="3"/>
      <c r="T22" s="3">
        <v>3872</v>
      </c>
      <c r="U22" s="3"/>
      <c r="X22" s="3">
        <v>11541</v>
      </c>
      <c r="Y22" s="3">
        <v>12369</v>
      </c>
      <c r="Z22" s="3">
        <v>13517</v>
      </c>
      <c r="AA22" s="3">
        <v>16388</v>
      </c>
      <c r="AB22" s="3">
        <v>15336</v>
      </c>
      <c r="AC22" s="3">
        <f>+AB22*1.04</f>
        <v>15949.44</v>
      </c>
      <c r="AD22" s="3">
        <f t="shared" ref="AD22:AI22" si="26">+AC22*1.04</f>
        <v>16587.417600000001</v>
      </c>
      <c r="AE22" s="3">
        <f t="shared" si="26"/>
        <v>17250.914304000002</v>
      </c>
      <c r="AF22" s="3">
        <f t="shared" si="26"/>
        <v>17940.950876160001</v>
      </c>
      <c r="AG22" s="3">
        <f t="shared" si="26"/>
        <v>18658.588911206403</v>
      </c>
      <c r="AH22" s="3">
        <f t="shared" si="26"/>
        <v>19404.93246765466</v>
      </c>
      <c r="AI22" s="3">
        <f t="shared" si="26"/>
        <v>20181.129766360846</v>
      </c>
    </row>
    <row r="23" spans="1:35" x14ac:dyDescent="0.2">
      <c r="A23" s="1" t="s">
        <v>37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1344</v>
      </c>
      <c r="Q23" s="3"/>
      <c r="R23" s="3"/>
      <c r="S23" s="3"/>
      <c r="T23" s="3">
        <v>1220</v>
      </c>
      <c r="U23" s="3"/>
      <c r="X23" s="3">
        <v>4160</v>
      </c>
      <c r="Y23" s="3">
        <v>5345</v>
      </c>
      <c r="Z23" s="3">
        <v>5111</v>
      </c>
      <c r="AA23" s="3">
        <v>5163</v>
      </c>
      <c r="AB23" s="3">
        <v>5369</v>
      </c>
      <c r="AC23" s="3">
        <f>+AB23*1.035</f>
        <v>5556.915</v>
      </c>
      <c r="AD23" s="3">
        <f t="shared" ref="AD23:AI23" si="27">+AC23*1.035</f>
        <v>5751.4070249999995</v>
      </c>
      <c r="AE23" s="3">
        <f t="shared" si="27"/>
        <v>5952.7062708749991</v>
      </c>
      <c r="AF23" s="3">
        <f t="shared" si="27"/>
        <v>6161.050990355624</v>
      </c>
      <c r="AG23" s="3">
        <f t="shared" si="27"/>
        <v>6376.6877750180702</v>
      </c>
      <c r="AH23" s="3">
        <f t="shared" si="27"/>
        <v>6599.8718471437023</v>
      </c>
      <c r="AI23" s="3">
        <f t="shared" si="27"/>
        <v>6830.8673617937311</v>
      </c>
    </row>
    <row r="24" spans="1:35" x14ac:dyDescent="0.2">
      <c r="A24" s="1" t="s">
        <v>38</v>
      </c>
      <c r="B24" s="3">
        <f t="shared" ref="B24:S24" si="28">+B22+B23</f>
        <v>0</v>
      </c>
      <c r="C24" s="3">
        <f t="shared" si="28"/>
        <v>0</v>
      </c>
      <c r="D24" s="3">
        <f t="shared" si="28"/>
        <v>0</v>
      </c>
      <c r="E24" s="3">
        <f t="shared" si="28"/>
        <v>0</v>
      </c>
      <c r="F24" s="3">
        <f t="shared" si="28"/>
        <v>0</v>
      </c>
      <c r="G24" s="3">
        <f t="shared" si="28"/>
        <v>0</v>
      </c>
      <c r="H24" s="3">
        <f t="shared" si="28"/>
        <v>0</v>
      </c>
      <c r="I24" s="3">
        <f t="shared" si="28"/>
        <v>0</v>
      </c>
      <c r="J24" s="3">
        <f t="shared" si="28"/>
        <v>0</v>
      </c>
      <c r="K24" s="3">
        <f t="shared" si="28"/>
        <v>0</v>
      </c>
      <c r="L24" s="3">
        <f t="shared" si="28"/>
        <v>0</v>
      </c>
      <c r="M24" s="3">
        <f t="shared" si="28"/>
        <v>0</v>
      </c>
      <c r="N24" s="3">
        <f t="shared" si="28"/>
        <v>0</v>
      </c>
      <c r="O24" s="3">
        <f t="shared" si="28"/>
        <v>0</v>
      </c>
      <c r="P24" s="3">
        <f t="shared" si="28"/>
        <v>5218</v>
      </c>
      <c r="Q24" s="3">
        <f t="shared" si="28"/>
        <v>0</v>
      </c>
      <c r="R24" s="3">
        <f t="shared" si="28"/>
        <v>0</v>
      </c>
      <c r="S24" s="3">
        <f t="shared" si="28"/>
        <v>0</v>
      </c>
      <c r="T24" s="3">
        <f>+T22+T23</f>
        <v>5092</v>
      </c>
      <c r="U24" s="3">
        <f t="shared" ref="U24" si="29">+U22+U23</f>
        <v>0</v>
      </c>
      <c r="X24" s="3">
        <f t="shared" ref="X24" si="30">+X22+X23</f>
        <v>15701</v>
      </c>
      <c r="Y24" s="3">
        <f t="shared" ref="Y24" si="31">+Y22+Y23</f>
        <v>17714</v>
      </c>
      <c r="Z24" s="3">
        <f t="shared" ref="Z24" si="32">+Z22+Z23</f>
        <v>18628</v>
      </c>
      <c r="AA24" s="3">
        <f t="shared" ref="AA24" si="33">+AA22+AA23</f>
        <v>21551</v>
      </c>
      <c r="AB24" s="3">
        <f t="shared" ref="AB24" si="34">+AB22+AB23</f>
        <v>20705</v>
      </c>
      <c r="AC24" s="3">
        <f t="shared" ref="AC24" si="35">+AC22+AC23</f>
        <v>21506.355</v>
      </c>
      <c r="AD24" s="3">
        <f t="shared" ref="AD24" si="36">+AD22+AD23</f>
        <v>22338.824625000001</v>
      </c>
      <c r="AE24" s="3">
        <f t="shared" ref="AE24" si="37">+AE22+AE23</f>
        <v>23203.620574875</v>
      </c>
      <c r="AF24" s="3">
        <f t="shared" ref="AF24" si="38">+AF22+AF23</f>
        <v>24102.001866515624</v>
      </c>
      <c r="AG24" s="3">
        <f t="shared" ref="AG24" si="39">+AG22+AG23</f>
        <v>25035.276686224475</v>
      </c>
      <c r="AH24" s="3">
        <f t="shared" ref="AH24" si="40">+AH22+AH23</f>
        <v>26004.804314798363</v>
      </c>
      <c r="AI24" s="3">
        <f t="shared" ref="AI24" si="41">+AI22+AI23</f>
        <v>27011.997128154577</v>
      </c>
    </row>
    <row r="25" spans="1:35" x14ac:dyDescent="0.2">
      <c r="A25" s="2" t="s">
        <v>39</v>
      </c>
      <c r="B25" s="8">
        <f t="shared" ref="B25:S25" si="42">+B21-B24</f>
        <v>0</v>
      </c>
      <c r="C25" s="8">
        <f t="shared" si="42"/>
        <v>0</v>
      </c>
      <c r="D25" s="8">
        <f t="shared" si="42"/>
        <v>0</v>
      </c>
      <c r="E25" s="8">
        <f t="shared" si="42"/>
        <v>0</v>
      </c>
      <c r="F25" s="8">
        <f t="shared" si="42"/>
        <v>0</v>
      </c>
      <c r="G25" s="8">
        <f t="shared" si="42"/>
        <v>0</v>
      </c>
      <c r="H25" s="8">
        <f t="shared" si="42"/>
        <v>0</v>
      </c>
      <c r="I25" s="8">
        <f t="shared" si="42"/>
        <v>0</v>
      </c>
      <c r="J25" s="8">
        <f t="shared" si="42"/>
        <v>0</v>
      </c>
      <c r="K25" s="8">
        <f t="shared" si="42"/>
        <v>0</v>
      </c>
      <c r="L25" s="8">
        <f t="shared" si="42"/>
        <v>0</v>
      </c>
      <c r="M25" s="8">
        <f t="shared" si="42"/>
        <v>0</v>
      </c>
      <c r="N25" s="8">
        <f t="shared" si="42"/>
        <v>0</v>
      </c>
      <c r="O25" s="8">
        <f t="shared" si="42"/>
        <v>0</v>
      </c>
      <c r="P25" s="8">
        <f t="shared" si="42"/>
        <v>2641</v>
      </c>
      <c r="Q25" s="8">
        <f t="shared" si="42"/>
        <v>0</v>
      </c>
      <c r="R25" s="8">
        <f t="shared" si="42"/>
        <v>0</v>
      </c>
      <c r="S25" s="8">
        <f t="shared" si="42"/>
        <v>0</v>
      </c>
      <c r="T25" s="8">
        <f>+T21-T24</f>
        <v>3354</v>
      </c>
      <c r="U25" s="8">
        <f t="shared" ref="U25" si="43">+U21-U24</f>
        <v>0</v>
      </c>
      <c r="X25" s="8">
        <f t="shared" ref="X25" si="44">+X21-X24</f>
        <v>11851</v>
      </c>
      <c r="Y25" s="8">
        <f t="shared" ref="Y25" si="45">+Y21-Y24</f>
        <v>4154</v>
      </c>
      <c r="Z25" s="8">
        <f t="shared" ref="Z25" si="46">+Z21-Z24</f>
        <v>3659</v>
      </c>
      <c r="AA25" s="8">
        <f t="shared" ref="AA25" si="47">+AA21-AA24</f>
        <v>6770</v>
      </c>
      <c r="AB25" s="8">
        <f t="shared" ref="AB25" si="48">+AB21-AB24</f>
        <v>8992</v>
      </c>
      <c r="AC25" s="8">
        <f t="shared" ref="AC25" si="49">+AC21-AC24</f>
        <v>12505.621800000004</v>
      </c>
      <c r="AD25" s="8">
        <f t="shared" ref="AD25" si="50">+AD21-AD24</f>
        <v>15703.6718205</v>
      </c>
      <c r="AE25" s="8">
        <f t="shared" ref="AE25" si="51">+AE21-AE24</f>
        <v>18897.986411192505</v>
      </c>
      <c r="AF25" s="8">
        <f t="shared" ref="AF25" si="52">+AF21-AF24</f>
        <v>21622.637477096556</v>
      </c>
      <c r="AG25" s="8">
        <f t="shared" ref="AG25" si="53">+AG21-AG24</f>
        <v>24619.979031587092</v>
      </c>
      <c r="AH25" s="8">
        <f t="shared" ref="AH25" si="54">+AH21-AH24</f>
        <v>27303.381640091975</v>
      </c>
      <c r="AI25" s="8">
        <f t="shared" ref="AI25" si="55">+AI21-AI24</f>
        <v>30218.815995090004</v>
      </c>
    </row>
    <row r="26" spans="1:35" x14ac:dyDescent="0.2">
      <c r="A26" s="1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-11</v>
      </c>
      <c r="Q26" s="3"/>
      <c r="R26" s="3"/>
      <c r="S26" s="3"/>
      <c r="T26" s="3">
        <v>-65</v>
      </c>
      <c r="U26" s="3"/>
      <c r="X26" s="3">
        <v>4357</v>
      </c>
      <c r="Y26" s="3">
        <v>1038</v>
      </c>
      <c r="Z26" s="3">
        <f>201-654</f>
        <v>-453</v>
      </c>
      <c r="AA26" s="3">
        <f>-667-237</f>
        <v>-904</v>
      </c>
      <c r="AB26" s="3">
        <f>96-3892</f>
        <v>-3796</v>
      </c>
      <c r="AC26" s="3">
        <f>+main!B5*0.025</f>
        <v>264.65000000000003</v>
      </c>
      <c r="AD26" s="3">
        <f>+AC26*1.01</f>
        <v>267.29650000000004</v>
      </c>
      <c r="AE26" s="3">
        <f t="shared" ref="AE26:AI26" si="56">+AD26*1.01</f>
        <v>269.96946500000001</v>
      </c>
      <c r="AF26" s="3">
        <f t="shared" si="56"/>
        <v>272.66915965000004</v>
      </c>
      <c r="AG26" s="3">
        <f t="shared" si="56"/>
        <v>275.39585124650006</v>
      </c>
      <c r="AH26" s="3">
        <f t="shared" si="56"/>
        <v>278.14980975896503</v>
      </c>
      <c r="AI26" s="3">
        <f t="shared" si="56"/>
        <v>280.93130785655467</v>
      </c>
    </row>
    <row r="27" spans="1:35" x14ac:dyDescent="0.2">
      <c r="A27" s="1" t="s">
        <v>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-305</v>
      </c>
      <c r="Q27" s="3"/>
      <c r="R27" s="3"/>
      <c r="S27" s="3"/>
      <c r="T27" s="3">
        <v>-342</v>
      </c>
      <c r="U27" s="3"/>
      <c r="X27" s="3">
        <v>-978</v>
      </c>
      <c r="Y27" s="3">
        <v>-1491</v>
      </c>
      <c r="Z27" s="3">
        <v>-1406</v>
      </c>
      <c r="AA27" s="3">
        <v>-1397</v>
      </c>
      <c r="AB27" s="3">
        <v>-1209</v>
      </c>
      <c r="AC27" s="3">
        <f>+AB27*0.975</f>
        <v>-1178.7749999999999</v>
      </c>
      <c r="AD27" s="3">
        <f t="shared" ref="AD27:AI27" si="57">+AC27*0.975</f>
        <v>-1149.3056249999997</v>
      </c>
      <c r="AE27" s="3">
        <f t="shared" si="57"/>
        <v>-1120.5729843749998</v>
      </c>
      <c r="AF27" s="3">
        <f t="shared" si="57"/>
        <v>-1092.5586597656247</v>
      </c>
      <c r="AG27" s="3">
        <f t="shared" si="57"/>
        <v>-1065.244693271484</v>
      </c>
      <c r="AH27" s="3">
        <f t="shared" si="57"/>
        <v>-1038.6135759396968</v>
      </c>
      <c r="AI27" s="3">
        <f t="shared" si="57"/>
        <v>-1012.6482365412044</v>
      </c>
    </row>
    <row r="28" spans="1:35" x14ac:dyDescent="0.2">
      <c r="A28" s="1" t="s">
        <v>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191</v>
      </c>
      <c r="Q28" s="3"/>
      <c r="R28" s="3"/>
      <c r="S28" s="3"/>
      <c r="T28" s="3">
        <v>146</v>
      </c>
      <c r="U28" s="3"/>
      <c r="X28" s="3">
        <v>-103</v>
      </c>
      <c r="Y28" s="3">
        <v>651</v>
      </c>
      <c r="Z28" s="3">
        <v>761</v>
      </c>
      <c r="AA28" s="3">
        <v>816</v>
      </c>
      <c r="AB28" s="3">
        <v>782</v>
      </c>
      <c r="AC28" s="3">
        <f>+AB28*1.03</f>
        <v>805.46</v>
      </c>
      <c r="AD28" s="3">
        <f t="shared" ref="AD28:AI28" si="58">+AC28*1.03</f>
        <v>829.62380000000007</v>
      </c>
      <c r="AE28" s="3">
        <f t="shared" si="58"/>
        <v>854.51251400000012</v>
      </c>
      <c r="AF28" s="3">
        <f t="shared" si="58"/>
        <v>880.14788942000018</v>
      </c>
      <c r="AG28" s="3">
        <f t="shared" si="58"/>
        <v>906.5523261026002</v>
      </c>
      <c r="AH28" s="3">
        <f t="shared" si="58"/>
        <v>933.74889588567828</v>
      </c>
      <c r="AI28" s="3">
        <f t="shared" si="58"/>
        <v>961.76136276224861</v>
      </c>
    </row>
    <row r="29" spans="1:35" x14ac:dyDescent="0.2">
      <c r="A29" s="1" t="s">
        <v>43</v>
      </c>
      <c r="B29" s="3">
        <f t="shared" ref="B29:S29" si="59">+B25+B26+B27+B28</f>
        <v>0</v>
      </c>
      <c r="C29" s="3">
        <f t="shared" si="59"/>
        <v>0</v>
      </c>
      <c r="D29" s="3">
        <f t="shared" si="59"/>
        <v>0</v>
      </c>
      <c r="E29" s="3">
        <f t="shared" si="59"/>
        <v>0</v>
      </c>
      <c r="F29" s="3">
        <f t="shared" si="59"/>
        <v>0</v>
      </c>
      <c r="G29" s="3">
        <f t="shared" si="59"/>
        <v>0</v>
      </c>
      <c r="H29" s="3">
        <f t="shared" si="59"/>
        <v>0</v>
      </c>
      <c r="I29" s="3">
        <f t="shared" si="59"/>
        <v>0</v>
      </c>
      <c r="J29" s="3">
        <f t="shared" si="59"/>
        <v>0</v>
      </c>
      <c r="K29" s="3">
        <f t="shared" si="59"/>
        <v>0</v>
      </c>
      <c r="L29" s="3">
        <f t="shared" si="59"/>
        <v>0</v>
      </c>
      <c r="M29" s="3">
        <f t="shared" si="59"/>
        <v>0</v>
      </c>
      <c r="N29" s="3">
        <f t="shared" si="59"/>
        <v>0</v>
      </c>
      <c r="O29" s="3">
        <f t="shared" si="59"/>
        <v>0</v>
      </c>
      <c r="P29" s="3">
        <f t="shared" si="59"/>
        <v>2516</v>
      </c>
      <c r="Q29" s="3">
        <f t="shared" si="59"/>
        <v>0</v>
      </c>
      <c r="R29" s="3">
        <f t="shared" si="59"/>
        <v>0</v>
      </c>
      <c r="S29" s="3">
        <f t="shared" si="59"/>
        <v>0</v>
      </c>
      <c r="T29" s="3">
        <f>+T25+T26+T27+T28</f>
        <v>3093</v>
      </c>
      <c r="U29" s="3"/>
      <c r="X29" s="3">
        <f t="shared" ref="X29" si="60">+X25+X26+X27+X28</f>
        <v>15127</v>
      </c>
      <c r="Y29" s="3">
        <f t="shared" ref="Y29" si="61">+Y25+Y26+Y27+Y28</f>
        <v>4352</v>
      </c>
      <c r="Z29" s="3">
        <f t="shared" ref="Z29" si="62">+Z25+Z26+Z27+Z28</f>
        <v>2561</v>
      </c>
      <c r="AA29" s="3">
        <f t="shared" ref="AA29" si="63">+AA25+AA26+AA27+AA28</f>
        <v>5285</v>
      </c>
      <c r="AB29" s="3">
        <f t="shared" ref="AB29" si="64">+AB25+AB26+AB27+AB28</f>
        <v>4769</v>
      </c>
      <c r="AC29" s="3">
        <f t="shared" ref="AC29" si="65">+AC25+AC26+AC27+AC28</f>
        <v>12396.956800000004</v>
      </c>
      <c r="AD29" s="3">
        <f t="shared" ref="AD29" si="66">+AD25+AD26+AD27+AD28</f>
        <v>15651.2864955</v>
      </c>
      <c r="AE29" s="3">
        <f t="shared" ref="AE29" si="67">+AE25+AE26+AE27+AE28</f>
        <v>18901.895405817504</v>
      </c>
      <c r="AF29" s="3">
        <f t="shared" ref="AF29" si="68">+AF25+AF26+AF27+AF28</f>
        <v>21682.89586640093</v>
      </c>
      <c r="AG29" s="3">
        <f t="shared" ref="AG29" si="69">+AG25+AG26+AG27+AG28</f>
        <v>24736.682515664706</v>
      </c>
      <c r="AH29" s="3">
        <f t="shared" ref="AH29" si="70">+AH25+AH26+AH27+AH28</f>
        <v>27476.666769796921</v>
      </c>
      <c r="AI29" s="3">
        <f t="shared" ref="AI29" si="71">+AI25+AI26+AI27+AI28</f>
        <v>30448.860429167602</v>
      </c>
    </row>
    <row r="30" spans="1:35" x14ac:dyDescent="0.2">
      <c r="A30" s="1" t="s">
        <v>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19</v>
      </c>
      <c r="Q30" s="3"/>
      <c r="R30" s="3"/>
      <c r="S30" s="3"/>
      <c r="T30" s="3">
        <v>251</v>
      </c>
      <c r="U30" s="3"/>
      <c r="X30" s="3">
        <v>3031</v>
      </c>
      <c r="Y30" s="3">
        <v>699</v>
      </c>
      <c r="Z30" s="3">
        <v>25</v>
      </c>
      <c r="AA30" s="3">
        <v>1732</v>
      </c>
      <c r="AB30" s="3">
        <v>1379</v>
      </c>
      <c r="AC30" s="3">
        <f>+AC29*0.28</f>
        <v>3471.1479040000013</v>
      </c>
      <c r="AD30" s="3">
        <f t="shared" ref="AD30:AI30" si="72">+AD29*0.28</f>
        <v>4382.3602187400002</v>
      </c>
      <c r="AE30" s="3">
        <f t="shared" si="72"/>
        <v>5292.530713628902</v>
      </c>
      <c r="AF30" s="3">
        <f t="shared" si="72"/>
        <v>6071.2108425922606</v>
      </c>
      <c r="AG30" s="3">
        <f t="shared" si="72"/>
        <v>6926.2711043861182</v>
      </c>
      <c r="AH30" s="3">
        <f t="shared" si="72"/>
        <v>7693.4666955431385</v>
      </c>
      <c r="AI30" s="3">
        <f t="shared" si="72"/>
        <v>8525.6809201669294</v>
      </c>
    </row>
    <row r="31" spans="1:35" x14ac:dyDescent="0.2">
      <c r="A31" s="1" t="s">
        <v>45</v>
      </c>
      <c r="B31" s="3">
        <f t="shared" ref="B31:S31" si="73">+B29-B30</f>
        <v>0</v>
      </c>
      <c r="C31" s="3">
        <f t="shared" si="73"/>
        <v>0</v>
      </c>
      <c r="D31" s="3">
        <f t="shared" si="73"/>
        <v>0</v>
      </c>
      <c r="E31" s="3">
        <f t="shared" si="73"/>
        <v>0</v>
      </c>
      <c r="F31" s="3">
        <f t="shared" si="73"/>
        <v>0</v>
      </c>
      <c r="G31" s="3">
        <f t="shared" si="73"/>
        <v>0</v>
      </c>
      <c r="H31" s="3">
        <f t="shared" si="73"/>
        <v>0</v>
      </c>
      <c r="I31" s="3">
        <f t="shared" si="73"/>
        <v>0</v>
      </c>
      <c r="J31" s="3">
        <f t="shared" si="73"/>
        <v>0</v>
      </c>
      <c r="K31" s="3">
        <f t="shared" si="73"/>
        <v>0</v>
      </c>
      <c r="L31" s="3">
        <f t="shared" si="73"/>
        <v>0</v>
      </c>
      <c r="M31" s="3">
        <f t="shared" si="73"/>
        <v>0</v>
      </c>
      <c r="N31" s="3">
        <f t="shared" si="73"/>
        <v>0</v>
      </c>
      <c r="O31" s="3">
        <f t="shared" si="73"/>
        <v>0</v>
      </c>
      <c r="P31" s="3">
        <f t="shared" si="73"/>
        <v>2497</v>
      </c>
      <c r="Q31" s="3">
        <f t="shared" si="73"/>
        <v>0</v>
      </c>
      <c r="R31" s="3">
        <f t="shared" si="73"/>
        <v>0</v>
      </c>
      <c r="S31" s="3">
        <f t="shared" si="73"/>
        <v>0</v>
      </c>
      <c r="T31" s="3">
        <f>+T29-T30</f>
        <v>2842</v>
      </c>
      <c r="U31" s="3"/>
      <c r="X31" s="3">
        <f t="shared" ref="X31" si="74">+X29-X30</f>
        <v>12096</v>
      </c>
      <c r="Y31" s="3">
        <f t="shared" ref="Y31" si="75">+Y29-Y30</f>
        <v>3653</v>
      </c>
      <c r="Z31" s="3">
        <f t="shared" ref="Z31" si="76">+Z29-Z30</f>
        <v>2536</v>
      </c>
      <c r="AA31" s="3">
        <f t="shared" ref="AA31" si="77">+AA29-AA30</f>
        <v>3553</v>
      </c>
      <c r="AB31" s="3">
        <f t="shared" ref="AB31" si="78">+AB29-AB30</f>
        <v>3390</v>
      </c>
      <c r="AC31" s="3">
        <f t="shared" ref="AC31" si="79">+AC29-AC30</f>
        <v>8925.8088960000023</v>
      </c>
      <c r="AD31" s="3">
        <f t="shared" ref="AD31" si="80">+AD29-AD30</f>
        <v>11268.926276760001</v>
      </c>
      <c r="AE31" s="3">
        <f t="shared" ref="AE31" si="81">+AE29-AE30</f>
        <v>13609.364692188603</v>
      </c>
      <c r="AF31" s="3">
        <f t="shared" ref="AF31" si="82">+AF29-AF30</f>
        <v>15611.68502380867</v>
      </c>
      <c r="AG31" s="3">
        <f t="shared" ref="AG31" si="83">+AG29-AG30</f>
        <v>17810.41141127859</v>
      </c>
      <c r="AH31" s="3">
        <f t="shared" ref="AH31" si="84">+AH29-AH30</f>
        <v>19783.200074253782</v>
      </c>
      <c r="AI31" s="3">
        <f t="shared" ref="AI31" si="85">+AI29-AI30</f>
        <v>21923.179509000671</v>
      </c>
    </row>
    <row r="32" spans="1:35" x14ac:dyDescent="0.2">
      <c r="A32" s="1" t="s">
        <v>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307</v>
      </c>
      <c r="Q32" s="3"/>
      <c r="R32" s="3"/>
      <c r="S32" s="3"/>
      <c r="T32" s="3">
        <v>221</v>
      </c>
      <c r="U32" s="3"/>
      <c r="X32" s="3">
        <f>-671+472+58</f>
        <v>-141</v>
      </c>
      <c r="Y32" s="3">
        <v>390</v>
      </c>
      <c r="Z32" s="3">
        <v>512</v>
      </c>
      <c r="AA32" s="3">
        <v>360</v>
      </c>
      <c r="AB32" s="3">
        <v>1036</v>
      </c>
      <c r="AC32" s="3">
        <f>+AC31*0.15</f>
        <v>1338.8713344000003</v>
      </c>
      <c r="AD32" s="3">
        <f t="shared" ref="AD32:AI32" si="86">+AD31*0.15</f>
        <v>1690.3389415140002</v>
      </c>
      <c r="AE32" s="3">
        <f t="shared" si="86"/>
        <v>2041.4047038282904</v>
      </c>
      <c r="AF32" s="3">
        <f t="shared" si="86"/>
        <v>2341.7527535713002</v>
      </c>
      <c r="AG32" s="3">
        <f t="shared" si="86"/>
        <v>2671.5617116917883</v>
      </c>
      <c r="AH32" s="3">
        <f t="shared" si="86"/>
        <v>2967.4800111380673</v>
      </c>
      <c r="AI32" s="3">
        <f t="shared" si="86"/>
        <v>3288.4769263501007</v>
      </c>
    </row>
    <row r="33" spans="1:125" x14ac:dyDescent="0.2">
      <c r="A33" s="2" t="s">
        <v>55</v>
      </c>
      <c r="B33" s="8">
        <f t="shared" ref="B33:S33" si="87">+B31-B32</f>
        <v>0</v>
      </c>
      <c r="C33" s="8">
        <f t="shared" si="87"/>
        <v>0</v>
      </c>
      <c r="D33" s="8">
        <f t="shared" si="87"/>
        <v>0</v>
      </c>
      <c r="E33" s="8">
        <f t="shared" si="87"/>
        <v>0</v>
      </c>
      <c r="F33" s="8">
        <f t="shared" si="87"/>
        <v>0</v>
      </c>
      <c r="G33" s="8">
        <f t="shared" si="87"/>
        <v>0</v>
      </c>
      <c r="H33" s="8">
        <f t="shared" si="87"/>
        <v>0</v>
      </c>
      <c r="I33" s="8">
        <f t="shared" si="87"/>
        <v>0</v>
      </c>
      <c r="J33" s="8">
        <f t="shared" si="87"/>
        <v>0</v>
      </c>
      <c r="K33" s="8">
        <f t="shared" si="87"/>
        <v>0</v>
      </c>
      <c r="L33" s="8">
        <f t="shared" si="87"/>
        <v>0</v>
      </c>
      <c r="M33" s="8">
        <f t="shared" si="87"/>
        <v>0</v>
      </c>
      <c r="N33" s="8">
        <f t="shared" si="87"/>
        <v>0</v>
      </c>
      <c r="O33" s="8">
        <f t="shared" si="87"/>
        <v>0</v>
      </c>
      <c r="P33" s="8">
        <f t="shared" si="87"/>
        <v>2190</v>
      </c>
      <c r="Q33" s="8">
        <f t="shared" si="87"/>
        <v>0</v>
      </c>
      <c r="R33" s="8">
        <f t="shared" si="87"/>
        <v>0</v>
      </c>
      <c r="S33" s="8">
        <f t="shared" si="87"/>
        <v>0</v>
      </c>
      <c r="T33" s="8">
        <f>+T31-T32</f>
        <v>2621</v>
      </c>
      <c r="U33" s="8"/>
      <c r="V33" s="2"/>
      <c r="W33" s="2"/>
      <c r="X33" s="8">
        <f t="shared" ref="X33" si="88">+X31-X32</f>
        <v>12237</v>
      </c>
      <c r="Y33" s="8">
        <f>+Y31-Y32</f>
        <v>3263</v>
      </c>
      <c r="Z33" s="8">
        <f t="shared" ref="Z33" si="89">+Z31-Z32</f>
        <v>2024</v>
      </c>
      <c r="AA33" s="8">
        <f t="shared" ref="AA33" si="90">+AA31-AA32</f>
        <v>3193</v>
      </c>
      <c r="AB33" s="8">
        <f t="shared" ref="AB33" si="91">+AB31-AB32</f>
        <v>2354</v>
      </c>
      <c r="AC33" s="8">
        <f t="shared" ref="AC33" si="92">+AC31-AC32</f>
        <v>7586.9375616000016</v>
      </c>
      <c r="AD33" s="8">
        <f t="shared" ref="AD33" si="93">+AD31-AD32</f>
        <v>9578.5873352460003</v>
      </c>
      <c r="AE33" s="8">
        <f t="shared" ref="AE33" si="94">+AE31-AE32</f>
        <v>11567.959988360313</v>
      </c>
      <c r="AF33" s="8">
        <f t="shared" ref="AF33" si="95">+AF31-AF32</f>
        <v>13269.93227023737</v>
      </c>
      <c r="AG33" s="8">
        <f t="shared" ref="AG33" si="96">+AG31-AG32</f>
        <v>15138.849699586801</v>
      </c>
      <c r="AH33" s="8">
        <f t="shared" ref="AH33" si="97">+AH31-AH32</f>
        <v>16815.720063115714</v>
      </c>
      <c r="AI33" s="8">
        <f t="shared" ref="AI33" si="98">+AI31-AI32</f>
        <v>18634.702582650571</v>
      </c>
      <c r="AJ33" s="8">
        <f>+AI33*(1+$AL$3)</f>
        <v>18821.049608477075</v>
      </c>
      <c r="AK33" s="8">
        <f t="shared" ref="AK33:CV33" si="99">+AJ33*(1+$AL$3)</f>
        <v>19009.260104561847</v>
      </c>
      <c r="AL33" s="8">
        <f t="shared" si="99"/>
        <v>19199.352705607464</v>
      </c>
      <c r="AM33" s="8">
        <f t="shared" si="99"/>
        <v>19391.346232663538</v>
      </c>
      <c r="AN33" s="8">
        <f t="shared" si="99"/>
        <v>19585.259694990174</v>
      </c>
      <c r="AO33" s="8">
        <f t="shared" si="99"/>
        <v>19781.112291940077</v>
      </c>
      <c r="AP33" s="8">
        <f t="shared" si="99"/>
        <v>19978.923414859477</v>
      </c>
      <c r="AQ33" s="8">
        <f t="shared" si="99"/>
        <v>20178.712649008074</v>
      </c>
      <c r="AR33" s="8">
        <f t="shared" si="99"/>
        <v>20380.499775498156</v>
      </c>
      <c r="AS33" s="8">
        <f t="shared" si="99"/>
        <v>20584.304773253138</v>
      </c>
      <c r="AT33" s="8">
        <f t="shared" si="99"/>
        <v>20790.147820985669</v>
      </c>
      <c r="AU33" s="8">
        <f t="shared" si="99"/>
        <v>20998.049299195525</v>
      </c>
      <c r="AV33" s="8">
        <f t="shared" si="99"/>
        <v>21208.029792187481</v>
      </c>
      <c r="AW33" s="8">
        <f t="shared" si="99"/>
        <v>21420.110090109356</v>
      </c>
      <c r="AX33" s="8">
        <f t="shared" si="99"/>
        <v>21634.311191010449</v>
      </c>
      <c r="AY33" s="8">
        <f t="shared" si="99"/>
        <v>21850.654302920553</v>
      </c>
      <c r="AZ33" s="8">
        <f t="shared" si="99"/>
        <v>22069.160845949758</v>
      </c>
      <c r="BA33" s="8">
        <f t="shared" si="99"/>
        <v>22289.852454409258</v>
      </c>
      <c r="BB33" s="8">
        <f t="shared" si="99"/>
        <v>22512.750978953351</v>
      </c>
      <c r="BC33" s="8">
        <f t="shared" si="99"/>
        <v>22737.878488742885</v>
      </c>
      <c r="BD33" s="8">
        <f t="shared" si="99"/>
        <v>22965.257273630315</v>
      </c>
      <c r="BE33" s="8">
        <f t="shared" si="99"/>
        <v>23194.90984636662</v>
      </c>
      <c r="BF33" s="8">
        <f t="shared" si="99"/>
        <v>23426.858944830285</v>
      </c>
      <c r="BG33" s="8">
        <f t="shared" si="99"/>
        <v>23661.127534278588</v>
      </c>
      <c r="BH33" s="8">
        <f t="shared" si="99"/>
        <v>23897.738809621376</v>
      </c>
      <c r="BI33" s="8">
        <f t="shared" si="99"/>
        <v>24136.716197717589</v>
      </c>
      <c r="BJ33" s="8">
        <f t="shared" si="99"/>
        <v>24378.083359694767</v>
      </c>
      <c r="BK33" s="8">
        <f t="shared" si="99"/>
        <v>24621.864193291716</v>
      </c>
      <c r="BL33" s="8">
        <f t="shared" si="99"/>
        <v>24868.082835224635</v>
      </c>
      <c r="BM33" s="8">
        <f t="shared" si="99"/>
        <v>25116.763663576883</v>
      </c>
      <c r="BN33" s="8">
        <f t="shared" si="99"/>
        <v>25367.931300212651</v>
      </c>
      <c r="BO33" s="8">
        <f t="shared" si="99"/>
        <v>25621.610613214776</v>
      </c>
      <c r="BP33" s="8">
        <f t="shared" si="99"/>
        <v>25877.826719346926</v>
      </c>
      <c r="BQ33" s="8">
        <f t="shared" si="99"/>
        <v>26136.604986540395</v>
      </c>
      <c r="BR33" s="8">
        <f t="shared" si="99"/>
        <v>26397.971036405797</v>
      </c>
      <c r="BS33" s="8">
        <f t="shared" si="99"/>
        <v>26661.950746769857</v>
      </c>
      <c r="BT33" s="8">
        <f t="shared" si="99"/>
        <v>26928.570254237555</v>
      </c>
      <c r="BU33" s="8">
        <f t="shared" si="99"/>
        <v>27197.855956779931</v>
      </c>
      <c r="BV33" s="8">
        <f t="shared" si="99"/>
        <v>27469.834516347732</v>
      </c>
      <c r="BW33" s="8">
        <f t="shared" si="99"/>
        <v>27744.532861511208</v>
      </c>
      <c r="BX33" s="8">
        <f t="shared" si="99"/>
        <v>28021.97819012632</v>
      </c>
      <c r="BY33" s="8">
        <f t="shared" si="99"/>
        <v>28302.197972027581</v>
      </c>
      <c r="BZ33" s="8">
        <f t="shared" si="99"/>
        <v>28585.219951747858</v>
      </c>
      <c r="CA33" s="8">
        <f t="shared" si="99"/>
        <v>28871.072151265336</v>
      </c>
      <c r="CB33" s="8">
        <f t="shared" si="99"/>
        <v>29159.782872777989</v>
      </c>
      <c r="CC33" s="8">
        <f t="shared" si="99"/>
        <v>29451.380701505768</v>
      </c>
      <c r="CD33" s="8">
        <f t="shared" si="99"/>
        <v>29745.894508520825</v>
      </c>
      <c r="CE33" s="8">
        <f t="shared" si="99"/>
        <v>30043.353453606032</v>
      </c>
      <c r="CF33" s="8">
        <f t="shared" si="99"/>
        <v>30343.786988142092</v>
      </c>
      <c r="CG33" s="8">
        <f t="shared" si="99"/>
        <v>30647.224858023514</v>
      </c>
      <c r="CH33" s="8">
        <f t="shared" si="99"/>
        <v>30953.697106603748</v>
      </c>
      <c r="CI33" s="8">
        <f t="shared" si="99"/>
        <v>31263.234077669786</v>
      </c>
      <c r="CJ33" s="8">
        <f t="shared" si="99"/>
        <v>31575.866418446483</v>
      </c>
      <c r="CK33" s="8">
        <f t="shared" si="99"/>
        <v>31891.625082630948</v>
      </c>
      <c r="CL33" s="8">
        <f t="shared" si="99"/>
        <v>32210.541333457259</v>
      </c>
      <c r="CM33" s="8">
        <f t="shared" si="99"/>
        <v>32532.64674679183</v>
      </c>
      <c r="CN33" s="8">
        <f t="shared" si="99"/>
        <v>32857.97321425975</v>
      </c>
      <c r="CO33" s="8">
        <f t="shared" si="99"/>
        <v>33186.552946402349</v>
      </c>
      <c r="CP33" s="8">
        <f t="shared" si="99"/>
        <v>33518.418475866376</v>
      </c>
      <c r="CQ33" s="8">
        <f t="shared" si="99"/>
        <v>33853.602660625038</v>
      </c>
      <c r="CR33" s="8">
        <f t="shared" si="99"/>
        <v>34192.138687231287</v>
      </c>
      <c r="CS33" s="8">
        <f t="shared" si="99"/>
        <v>34534.060074103603</v>
      </c>
      <c r="CT33" s="8">
        <f t="shared" si="99"/>
        <v>34879.400674844641</v>
      </c>
      <c r="CU33" s="8">
        <f t="shared" si="99"/>
        <v>35228.194681593086</v>
      </c>
      <c r="CV33" s="8">
        <f t="shared" si="99"/>
        <v>35580.476628409015</v>
      </c>
      <c r="CW33" s="8">
        <f t="shared" ref="CW33:DU33" si="100">+CV33*(1+$AL$3)</f>
        <v>35936.281394693106</v>
      </c>
      <c r="CX33" s="8">
        <f t="shared" si="100"/>
        <v>36295.644208640035</v>
      </c>
      <c r="CY33" s="8">
        <f t="shared" si="100"/>
        <v>36658.600650726432</v>
      </c>
      <c r="CZ33" s="8">
        <f t="shared" si="100"/>
        <v>37025.186657233695</v>
      </c>
      <c r="DA33" s="8">
        <f t="shared" si="100"/>
        <v>37395.438523806035</v>
      </c>
      <c r="DB33" s="8">
        <f t="shared" si="100"/>
        <v>37769.392909044094</v>
      </c>
      <c r="DC33" s="8">
        <f t="shared" si="100"/>
        <v>38147.086838134535</v>
      </c>
      <c r="DD33" s="8">
        <f t="shared" si="100"/>
        <v>38528.55770651588</v>
      </c>
      <c r="DE33" s="8">
        <f t="shared" si="100"/>
        <v>38913.843283581038</v>
      </c>
      <c r="DF33" s="8">
        <f t="shared" si="100"/>
        <v>39302.981716416849</v>
      </c>
      <c r="DG33" s="8">
        <f t="shared" si="100"/>
        <v>39696.011533581019</v>
      </c>
      <c r="DH33" s="8">
        <f t="shared" si="100"/>
        <v>40092.971648916828</v>
      </c>
      <c r="DI33" s="8">
        <f t="shared" si="100"/>
        <v>40493.901365405996</v>
      </c>
      <c r="DJ33" s="8">
        <f t="shared" si="100"/>
        <v>40898.840379060057</v>
      </c>
      <c r="DK33" s="8">
        <f t="shared" si="100"/>
        <v>41307.828782850658</v>
      </c>
      <c r="DL33" s="8">
        <f t="shared" si="100"/>
        <v>41720.907070679168</v>
      </c>
      <c r="DM33" s="8">
        <f t="shared" si="100"/>
        <v>42138.116141385959</v>
      </c>
      <c r="DN33" s="8">
        <f t="shared" si="100"/>
        <v>42559.49730279982</v>
      </c>
      <c r="DO33" s="8">
        <f t="shared" si="100"/>
        <v>42985.092275827818</v>
      </c>
      <c r="DP33" s="8">
        <f t="shared" si="100"/>
        <v>43414.943198586094</v>
      </c>
      <c r="DQ33" s="8">
        <f t="shared" si="100"/>
        <v>43849.092630571955</v>
      </c>
      <c r="DR33" s="8">
        <f t="shared" si="100"/>
        <v>44287.583556877675</v>
      </c>
      <c r="DS33" s="8">
        <f t="shared" si="100"/>
        <v>44730.45939244645</v>
      </c>
      <c r="DT33" s="8">
        <f t="shared" si="100"/>
        <v>45177.763986370912</v>
      </c>
      <c r="DU33" s="8">
        <f t="shared" si="100"/>
        <v>45629.541626234619</v>
      </c>
    </row>
    <row r="34" spans="1:125" x14ac:dyDescent="0.2">
      <c r="A34" s="1" t="s">
        <v>46</v>
      </c>
      <c r="P34" s="1">
        <v>1829</v>
      </c>
      <c r="T34" s="1">
        <v>1821</v>
      </c>
      <c r="X34" s="1">
        <v>1656</v>
      </c>
      <c r="Y34" s="1">
        <v>1808</v>
      </c>
      <c r="Z34" s="1">
        <v>1816</v>
      </c>
      <c r="AA34" s="1">
        <v>1822</v>
      </c>
      <c r="AB34" s="1">
        <v>1828</v>
      </c>
      <c r="AC34" s="1">
        <f>+AB34*0.985</f>
        <v>1800.58</v>
      </c>
      <c r="AD34" s="1">
        <f t="shared" ref="AD34:AI34" si="101">+AC34*0.985</f>
        <v>1773.5712999999998</v>
      </c>
      <c r="AE34" s="1">
        <f t="shared" si="101"/>
        <v>1746.9677304999998</v>
      </c>
      <c r="AF34" s="1">
        <f t="shared" si="101"/>
        <v>1720.7632145424998</v>
      </c>
      <c r="AG34" s="1">
        <f t="shared" si="101"/>
        <v>1694.9517663243623</v>
      </c>
      <c r="AH34" s="1">
        <f t="shared" si="101"/>
        <v>1669.527489829497</v>
      </c>
      <c r="AI34" s="1">
        <f t="shared" si="101"/>
        <v>1644.4845774820544</v>
      </c>
    </row>
    <row r="35" spans="1:125" x14ac:dyDescent="0.2">
      <c r="A35" s="1" t="s">
        <v>47</v>
      </c>
      <c r="B35" s="6" t="e">
        <f t="shared" ref="B35:S35" si="102">+B33/B34</f>
        <v>#DIV/0!</v>
      </c>
      <c r="C35" s="6" t="e">
        <f t="shared" si="102"/>
        <v>#DIV/0!</v>
      </c>
      <c r="D35" s="6" t="e">
        <f t="shared" si="102"/>
        <v>#DIV/0!</v>
      </c>
      <c r="E35" s="6" t="e">
        <f t="shared" si="102"/>
        <v>#DIV/0!</v>
      </c>
      <c r="F35" s="6" t="e">
        <f t="shared" si="102"/>
        <v>#DIV/0!</v>
      </c>
      <c r="G35" s="6" t="e">
        <f t="shared" si="102"/>
        <v>#DIV/0!</v>
      </c>
      <c r="H35" s="6" t="e">
        <f t="shared" si="102"/>
        <v>#DIV/0!</v>
      </c>
      <c r="I35" s="6" t="e">
        <f t="shared" si="102"/>
        <v>#DIV/0!</v>
      </c>
      <c r="J35" s="6" t="e">
        <f t="shared" si="102"/>
        <v>#DIV/0!</v>
      </c>
      <c r="K35" s="6" t="e">
        <f t="shared" si="102"/>
        <v>#DIV/0!</v>
      </c>
      <c r="L35" s="6" t="e">
        <f t="shared" si="102"/>
        <v>#DIV/0!</v>
      </c>
      <c r="M35" s="6" t="e">
        <f t="shared" si="102"/>
        <v>#DIV/0!</v>
      </c>
      <c r="N35" s="6" t="e">
        <f t="shared" si="102"/>
        <v>#DIV/0!</v>
      </c>
      <c r="O35" s="6" t="e">
        <f t="shared" si="102"/>
        <v>#DIV/0!</v>
      </c>
      <c r="P35" s="6">
        <f t="shared" si="102"/>
        <v>1.1973756150902133</v>
      </c>
      <c r="Q35" s="6" t="e">
        <f t="shared" si="102"/>
        <v>#DIV/0!</v>
      </c>
      <c r="R35" s="6" t="e">
        <f t="shared" si="102"/>
        <v>#DIV/0!</v>
      </c>
      <c r="S35" s="6" t="e">
        <f t="shared" si="102"/>
        <v>#DIV/0!</v>
      </c>
      <c r="T35" s="6">
        <f>+T33/T34</f>
        <v>1.4393190554640307</v>
      </c>
      <c r="X35" s="6">
        <f t="shared" ref="X35" si="103">+X33/X34</f>
        <v>7.3894927536231885</v>
      </c>
      <c r="Y35" s="6">
        <f t="shared" ref="Y35" si="104">+Y33/Y34</f>
        <v>1.8047566371681416</v>
      </c>
      <c r="Z35" s="6">
        <f t="shared" ref="Z35" si="105">+Z33/Z34</f>
        <v>1.1145374449339207</v>
      </c>
      <c r="AA35" s="6">
        <f t="shared" ref="AA35" si="106">+AA33/AA34</f>
        <v>1.752469813391877</v>
      </c>
      <c r="AB35" s="6">
        <f t="shared" ref="AB35" si="107">+AB33/AB34</f>
        <v>1.2877461706783371</v>
      </c>
      <c r="AC35" s="6">
        <f t="shared" ref="AC35" si="108">+AC33/AC34</f>
        <v>4.2136075939974909</v>
      </c>
      <c r="AD35" s="6">
        <f t="shared" ref="AD35" si="109">+AD33/AD34</f>
        <v>5.4007342897610044</v>
      </c>
      <c r="AE35" s="6">
        <f t="shared" ref="AE35" si="110">+AE33/AE34</f>
        <v>6.6217365017094201</v>
      </c>
      <c r="AF35" s="6">
        <f t="shared" ref="AF35" si="111">+AF33/AF34</f>
        <v>7.7116550133630408</v>
      </c>
      <c r="AG35" s="6">
        <f t="shared" ref="AG35" si="112">+AG33/AG34</f>
        <v>8.9317289142785459</v>
      </c>
      <c r="AH35" s="6">
        <f t="shared" ref="AH35" si="113">+AH33/AH34</f>
        <v>10.072143265417598</v>
      </c>
      <c r="AI35" s="6">
        <f t="shared" ref="AI35" si="114">+AI33/AI34</f>
        <v>11.331637181531381</v>
      </c>
      <c r="AK35" s="6"/>
      <c r="AM35" s="4"/>
    </row>
    <row r="37" spans="1:125" x14ac:dyDescent="0.2">
      <c r="A37" s="1" t="s">
        <v>48</v>
      </c>
      <c r="T37" s="9">
        <f>+T13/P13-1</f>
        <v>4.1383446621351405E-2</v>
      </c>
      <c r="Y37" s="5">
        <f>+Y13/X13-1</f>
        <v>-1.514650986092303E-2</v>
      </c>
      <c r="Z37" s="5">
        <f t="shared" ref="Z37:AI37" si="115">+Z13/Y13-1</f>
        <v>3.5941299790356318E-2</v>
      </c>
      <c r="AA37" s="5">
        <f t="shared" si="115"/>
        <v>0.20126926563916592</v>
      </c>
      <c r="AB37" s="5">
        <f t="shared" si="115"/>
        <v>7.2264150943396332E-2</v>
      </c>
      <c r="AC37" s="5">
        <f t="shared" si="115"/>
        <v>7.0000000000000062E-2</v>
      </c>
      <c r="AD37" s="5">
        <f t="shared" si="115"/>
        <v>7.4999999999999956E-2</v>
      </c>
      <c r="AE37" s="5">
        <f t="shared" si="115"/>
        <v>7.4999999999999956E-2</v>
      </c>
      <c r="AF37" s="5">
        <f t="shared" si="115"/>
        <v>7.4999999999999956E-2</v>
      </c>
      <c r="AG37" s="5">
        <f t="shared" si="115"/>
        <v>7.4999999999999956E-2</v>
      </c>
      <c r="AH37" s="5">
        <f t="shared" si="115"/>
        <v>7.4999999999999956E-2</v>
      </c>
      <c r="AI37" s="5">
        <f t="shared" si="115"/>
        <v>7.4999999999999956E-2</v>
      </c>
    </row>
    <row r="38" spans="1:125" x14ac:dyDescent="0.2">
      <c r="A38" s="1" t="s">
        <v>49</v>
      </c>
      <c r="T38" s="9">
        <f t="shared" ref="T38" si="116">+T14/P14-1</f>
        <v>-1.2919896640827266E-3</v>
      </c>
      <c r="Y38" s="5">
        <f t="shared" ref="Y38:AI38" si="117">+Y14/X14-1</f>
        <v>-0.32177669472751436</v>
      </c>
      <c r="Z38" s="5">
        <f t="shared" si="117"/>
        <v>-7.7249714192389352E-2</v>
      </c>
      <c r="AA38" s="5">
        <f t="shared" si="117"/>
        <v>0.50831858407079644</v>
      </c>
      <c r="AB38" s="5">
        <f t="shared" si="117"/>
        <v>9.5517484158648136E-2</v>
      </c>
      <c r="AC38" s="5">
        <f t="shared" si="117"/>
        <v>6.0000000000000053E-2</v>
      </c>
      <c r="AD38" s="5">
        <f t="shared" si="117"/>
        <v>6.0000000000000053E-2</v>
      </c>
      <c r="AE38" s="5">
        <f t="shared" si="117"/>
        <v>6.0000000000000053E-2</v>
      </c>
      <c r="AF38" s="5">
        <f t="shared" si="117"/>
        <v>6.0000000000000053E-2</v>
      </c>
      <c r="AG38" s="5">
        <f t="shared" si="117"/>
        <v>6.0000000000000053E-2</v>
      </c>
      <c r="AH38" s="5">
        <f t="shared" si="117"/>
        <v>6.0000000000000053E-2</v>
      </c>
      <c r="AI38" s="5">
        <f t="shared" si="117"/>
        <v>6.0000000000000053E-2</v>
      </c>
    </row>
    <row r="39" spans="1:125" x14ac:dyDescent="0.2">
      <c r="A39" s="1" t="s">
        <v>50</v>
      </c>
      <c r="T39" s="9">
        <f>+T16/P16-1</f>
        <v>3.6945812807881673E-2</v>
      </c>
      <c r="Y39" s="5">
        <f>+Y16/X16-1</f>
        <v>-5.493747304872787E-2</v>
      </c>
      <c r="Z39" s="5">
        <f t="shared" ref="Z39:AI39" si="118">+Z16/Y16-1</f>
        <v>2.5400012167670516E-2</v>
      </c>
      <c r="AA39" s="5">
        <f t="shared" si="118"/>
        <v>0.22700169094307165</v>
      </c>
      <c r="AB39" s="5">
        <f t="shared" si="118"/>
        <v>7.4659703585503223E-2</v>
      </c>
      <c r="AC39" s="5">
        <f t="shared" si="118"/>
        <v>6.8949807644716588E-2</v>
      </c>
      <c r="AD39" s="5">
        <f t="shared" si="118"/>
        <v>7.343790060771882E-2</v>
      </c>
      <c r="AE39" s="5">
        <f t="shared" si="118"/>
        <v>7.3457455848279007E-2</v>
      </c>
      <c r="AF39" s="5">
        <f t="shared" si="118"/>
        <v>7.3476794034159409E-2</v>
      </c>
      <c r="AG39" s="5">
        <f t="shared" si="118"/>
        <v>7.3495916881702428E-2</v>
      </c>
      <c r="AH39" s="5">
        <f t="shared" si="118"/>
        <v>7.3514826111284348E-2</v>
      </c>
      <c r="AI39" s="5">
        <f t="shared" si="118"/>
        <v>7.3533523446768445E-2</v>
      </c>
    </row>
    <row r="41" spans="1:125" x14ac:dyDescent="0.2">
      <c r="A41" s="1" t="s">
        <v>51</v>
      </c>
      <c r="B41" s="10" t="e">
        <f t="shared" ref="B41:S41" si="119">+B19/B13</f>
        <v>#DIV/0!</v>
      </c>
      <c r="C41" s="10" t="e">
        <f t="shared" si="119"/>
        <v>#DIV/0!</v>
      </c>
      <c r="D41" s="10" t="e">
        <f t="shared" si="119"/>
        <v>#DIV/0!</v>
      </c>
      <c r="E41" s="10" t="e">
        <f t="shared" si="119"/>
        <v>#DIV/0!</v>
      </c>
      <c r="F41" s="10" t="e">
        <f t="shared" si="119"/>
        <v>#DIV/0!</v>
      </c>
      <c r="G41" s="10" t="e">
        <f t="shared" si="119"/>
        <v>#DIV/0!</v>
      </c>
      <c r="H41" s="10" t="e">
        <f t="shared" si="119"/>
        <v>#DIV/0!</v>
      </c>
      <c r="I41" s="10" t="e">
        <f t="shared" si="119"/>
        <v>#DIV/0!</v>
      </c>
      <c r="J41" s="10" t="e">
        <f t="shared" si="119"/>
        <v>#DIV/0!</v>
      </c>
      <c r="K41" s="10" t="e">
        <f t="shared" si="119"/>
        <v>#DIV/0!</v>
      </c>
      <c r="L41" s="10" t="e">
        <f t="shared" si="119"/>
        <v>#DIV/0!</v>
      </c>
      <c r="M41" s="10" t="e">
        <f t="shared" si="119"/>
        <v>#DIV/0!</v>
      </c>
      <c r="N41" s="10" t="e">
        <f t="shared" si="119"/>
        <v>#DIV/0!</v>
      </c>
      <c r="O41" s="10" t="e">
        <f t="shared" si="119"/>
        <v>#DIV/0!</v>
      </c>
      <c r="P41" s="10">
        <f>+P19/P13</f>
        <v>0.35155937624950018</v>
      </c>
      <c r="Q41" s="10" t="e">
        <f t="shared" si="119"/>
        <v>#DIV/0!</v>
      </c>
      <c r="R41" s="10" t="e">
        <f t="shared" si="119"/>
        <v>#DIV/0!</v>
      </c>
      <c r="S41" s="10" t="e">
        <f t="shared" si="119"/>
        <v>#DIV/0!</v>
      </c>
      <c r="T41" s="10">
        <f>+T19/T13</f>
        <v>0.36475331157611823</v>
      </c>
      <c r="U41" s="10" t="e">
        <f t="shared" ref="U41:U42" si="120">+U19/U13</f>
        <v>#DIV/0!</v>
      </c>
      <c r="X41" s="10">
        <f t="shared" ref="X41:AI41" si="121">+X19/X13</f>
        <v>0.39793862112252654</v>
      </c>
      <c r="Y41" s="10">
        <f t="shared" si="121"/>
        <v>0.3391027253668763</v>
      </c>
      <c r="Z41" s="10">
        <f t="shared" si="121"/>
        <v>0.33413741743297498</v>
      </c>
      <c r="AA41" s="10">
        <f t="shared" si="121"/>
        <v>0.34013477088948785</v>
      </c>
      <c r="AB41" s="10">
        <f t="shared" si="121"/>
        <v>0.33210577914079586</v>
      </c>
      <c r="AC41" s="10">
        <f t="shared" si="121"/>
        <v>0.36</v>
      </c>
      <c r="AD41" s="10">
        <f t="shared" si="121"/>
        <v>0.375</v>
      </c>
      <c r="AE41" s="10">
        <f t="shared" si="121"/>
        <v>0.38500000000000001</v>
      </c>
      <c r="AF41" s="10">
        <f t="shared" si="121"/>
        <v>0.39</v>
      </c>
      <c r="AG41" s="10">
        <f t="shared" si="121"/>
        <v>0.39499999999999996</v>
      </c>
      <c r="AH41" s="10">
        <f t="shared" si="121"/>
        <v>0.39500000000000002</v>
      </c>
      <c r="AI41" s="10">
        <f t="shared" si="121"/>
        <v>0.39500000000000002</v>
      </c>
    </row>
    <row r="42" spans="1:125" x14ac:dyDescent="0.2">
      <c r="A42" s="1" t="s">
        <v>52</v>
      </c>
      <c r="B42" s="10" t="e">
        <f t="shared" ref="B42:S42" si="122">+B20/B14</f>
        <v>#DIV/0!</v>
      </c>
      <c r="C42" s="10" t="e">
        <f t="shared" si="122"/>
        <v>#DIV/0!</v>
      </c>
      <c r="D42" s="10" t="e">
        <f t="shared" si="122"/>
        <v>#DIV/0!</v>
      </c>
      <c r="E42" s="10" t="e">
        <f t="shared" si="122"/>
        <v>#DIV/0!</v>
      </c>
      <c r="F42" s="10" t="e">
        <f t="shared" si="122"/>
        <v>#DIV/0!</v>
      </c>
      <c r="G42" s="10" t="e">
        <f t="shared" si="122"/>
        <v>#DIV/0!</v>
      </c>
      <c r="H42" s="10" t="e">
        <f t="shared" si="122"/>
        <v>#DIV/0!</v>
      </c>
      <c r="I42" s="10" t="e">
        <f t="shared" si="122"/>
        <v>#DIV/0!</v>
      </c>
      <c r="J42" s="10" t="e">
        <f t="shared" si="122"/>
        <v>#DIV/0!</v>
      </c>
      <c r="K42" s="10" t="e">
        <f t="shared" si="122"/>
        <v>#DIV/0!</v>
      </c>
      <c r="L42" s="10" t="e">
        <f t="shared" si="122"/>
        <v>#DIV/0!</v>
      </c>
      <c r="M42" s="10" t="e">
        <f t="shared" si="122"/>
        <v>#DIV/0!</v>
      </c>
      <c r="N42" s="10" t="e">
        <f t="shared" si="122"/>
        <v>#DIV/0!</v>
      </c>
      <c r="O42" s="10" t="e">
        <f t="shared" si="122"/>
        <v>#DIV/0!</v>
      </c>
      <c r="P42" s="10">
        <f t="shared" si="122"/>
        <v>0.355297157622739</v>
      </c>
      <c r="Q42" s="10" t="e">
        <f t="shared" si="122"/>
        <v>#DIV/0!</v>
      </c>
      <c r="R42" s="10" t="e">
        <f t="shared" si="122"/>
        <v>#DIV/0!</v>
      </c>
      <c r="S42" s="10" t="e">
        <f t="shared" si="122"/>
        <v>#DIV/0!</v>
      </c>
      <c r="T42" s="10">
        <f>+T20/T14</f>
        <v>0.36481241914618368</v>
      </c>
      <c r="U42" s="10" t="e">
        <f t="shared" si="120"/>
        <v>#DIV/0!</v>
      </c>
      <c r="X42" s="10">
        <f t="shared" ref="X42:AI42" si="123">+X20/X14</f>
        <v>0.38325210456358</v>
      </c>
      <c r="Y42" s="10">
        <f t="shared" si="123"/>
        <v>0.26931242854809734</v>
      </c>
      <c r="Z42" s="10">
        <f t="shared" si="123"/>
        <v>0.29168141592920355</v>
      </c>
      <c r="AA42" s="10">
        <f t="shared" si="123"/>
        <v>0.36176953766721426</v>
      </c>
      <c r="AB42" s="10">
        <f t="shared" si="123"/>
        <v>0.35068551842330764</v>
      </c>
      <c r="AC42" s="10">
        <f t="shared" si="123"/>
        <v>0.33999999999999997</v>
      </c>
      <c r="AD42" s="10">
        <f t="shared" si="123"/>
        <v>0.35499999999999993</v>
      </c>
      <c r="AE42" s="10">
        <f t="shared" si="123"/>
        <v>0.38</v>
      </c>
      <c r="AF42" s="10">
        <f t="shared" si="123"/>
        <v>0.38</v>
      </c>
      <c r="AG42" s="10">
        <f t="shared" si="123"/>
        <v>0.38</v>
      </c>
      <c r="AH42" s="10">
        <f t="shared" si="123"/>
        <v>0.38</v>
      </c>
      <c r="AI42" s="10">
        <f t="shared" si="123"/>
        <v>0.38000000000000006</v>
      </c>
    </row>
    <row r="43" spans="1:125" x14ac:dyDescent="0.2">
      <c r="A43" s="1" t="s">
        <v>53</v>
      </c>
      <c r="B43" s="9" t="e">
        <f t="shared" ref="B43:S43" si="124">+B25/B16</f>
        <v>#DIV/0!</v>
      </c>
      <c r="C43" s="9" t="e">
        <f t="shared" si="124"/>
        <v>#DIV/0!</v>
      </c>
      <c r="D43" s="9" t="e">
        <f t="shared" si="124"/>
        <v>#DIV/0!</v>
      </c>
      <c r="E43" s="9" t="e">
        <f t="shared" si="124"/>
        <v>#DIV/0!</v>
      </c>
      <c r="F43" s="9" t="e">
        <f t="shared" si="124"/>
        <v>#DIV/0!</v>
      </c>
      <c r="G43" s="9" t="e">
        <f t="shared" si="124"/>
        <v>#DIV/0!</v>
      </c>
      <c r="H43" s="9" t="e">
        <f t="shared" si="124"/>
        <v>#DIV/0!</v>
      </c>
      <c r="I43" s="9" t="e">
        <f t="shared" si="124"/>
        <v>#DIV/0!</v>
      </c>
      <c r="J43" s="9" t="e">
        <f t="shared" si="124"/>
        <v>#DIV/0!</v>
      </c>
      <c r="K43" s="9" t="e">
        <f t="shared" si="124"/>
        <v>#DIV/0!</v>
      </c>
      <c r="L43" s="9" t="e">
        <f t="shared" si="124"/>
        <v>#DIV/0!</v>
      </c>
      <c r="M43" s="9" t="e">
        <f t="shared" si="124"/>
        <v>#DIV/0!</v>
      </c>
      <c r="N43" s="9" t="e">
        <f t="shared" si="124"/>
        <v>#DIV/0!</v>
      </c>
      <c r="O43" s="9" t="e">
        <f t="shared" si="124"/>
        <v>#DIV/0!</v>
      </c>
      <c r="P43" s="9">
        <f t="shared" si="124"/>
        <v>0.11827138378862517</v>
      </c>
      <c r="Q43" s="9" t="e">
        <f t="shared" si="124"/>
        <v>#DIV/0!</v>
      </c>
      <c r="R43" s="9" t="e">
        <f t="shared" si="124"/>
        <v>#DIV/0!</v>
      </c>
      <c r="S43" s="9" t="e">
        <f t="shared" si="124"/>
        <v>#DIV/0!</v>
      </c>
      <c r="T43" s="9">
        <f>+T25/T16</f>
        <v>0.14484992442237099</v>
      </c>
      <c r="U43" s="1" t="e">
        <f t="shared" ref="U43" si="125">+U25/U16</f>
        <v>#DIV/0!</v>
      </c>
      <c r="X43" s="9">
        <f t="shared" ref="X43:AI43" si="126">+X25/X16</f>
        <v>0.17034641368405923</v>
      </c>
      <c r="Y43" s="9">
        <f t="shared" si="126"/>
        <v>6.3180629068564823E-2</v>
      </c>
      <c r="Z43" s="9">
        <f t="shared" si="126"/>
        <v>5.4273339464238041E-2</v>
      </c>
      <c r="AA43" s="9">
        <f t="shared" si="126"/>
        <v>8.1840381035274773E-2</v>
      </c>
      <c r="AB43" s="9">
        <f t="shared" si="126"/>
        <v>0.10114963216270333</v>
      </c>
      <c r="AC43" s="9">
        <f t="shared" si="126"/>
        <v>0.13160002946515484</v>
      </c>
      <c r="AD43" s="9">
        <f t="shared" si="126"/>
        <v>0.15394832981692827</v>
      </c>
      <c r="AE43" s="9">
        <f t="shared" si="126"/>
        <v>0.17258556414483248</v>
      </c>
      <c r="AF43" s="9">
        <f t="shared" si="126"/>
        <v>0.18395218072378586</v>
      </c>
      <c r="AG43" s="9">
        <f t="shared" si="126"/>
        <v>0.19511180896009794</v>
      </c>
      <c r="AH43" s="9">
        <f t="shared" si="126"/>
        <v>0.20155996281564537</v>
      </c>
      <c r="AI43" s="9">
        <f t="shared" si="126"/>
        <v>0.20780197142509585</v>
      </c>
    </row>
    <row r="45" spans="1:125" x14ac:dyDescent="0.2">
      <c r="A45" s="1" t="s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>
        <f>408/P7</f>
        <v>4.0673910876283519E-2</v>
      </c>
      <c r="Q45" s="9"/>
      <c r="R45" s="9"/>
      <c r="S45" s="9"/>
      <c r="T45" s="9">
        <f>1201/T7</f>
        <v>0.11351606805293006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125" x14ac:dyDescent="0.2">
      <c r="A46" s="1" t="s">
        <v>65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>
        <f>854/P8</f>
        <v>0.19700115340253749</v>
      </c>
      <c r="Q46" s="9"/>
      <c r="R46" s="9"/>
      <c r="S46" s="9"/>
      <c r="T46" s="9">
        <f>802/T8</f>
        <v>0.17595436594997807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125" x14ac:dyDescent="0.2">
      <c r="A47" s="1" t="s">
        <v>66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>
        <f>2297/P9</f>
        <v>0.10286609941782356</v>
      </c>
      <c r="Q47" s="9"/>
      <c r="R47" s="9"/>
      <c r="S47" s="9"/>
      <c r="T47" s="9">
        <f>2222/T9</f>
        <v>0.2649654185547341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9" spans="1:35" x14ac:dyDescent="0.2">
      <c r="A49" s="1" t="s">
        <v>56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f>14182+3080-4330-42101</f>
        <v>-29169</v>
      </c>
      <c r="Q49" s="3"/>
      <c r="R49" s="3"/>
      <c r="S49" s="3"/>
      <c r="T49" s="3">
        <f>5954+4632-8060-39524</f>
        <v>-36998</v>
      </c>
      <c r="X49" s="3">
        <f>5418+3224-8857-38129</f>
        <v>-38344</v>
      </c>
      <c r="Y49" s="3">
        <f>17914+3903-5711-52917</f>
        <v>-36811</v>
      </c>
      <c r="Z49" s="3">
        <f>15959+3935-5866-48540</f>
        <v>-34512</v>
      </c>
      <c r="AA49" s="3">
        <f>11615+3218-3070-45299</f>
        <v>-33536</v>
      </c>
      <c r="AB49" s="3">
        <f>14182+3080-4330-42101</f>
        <v>-29169</v>
      </c>
      <c r="AC49" s="3"/>
      <c r="AD49" s="3"/>
      <c r="AE49" s="3"/>
      <c r="AF49" s="3"/>
      <c r="AG49" s="3"/>
      <c r="AH49" s="3"/>
      <c r="AI49" s="3"/>
    </row>
    <row r="51" spans="1:35" x14ac:dyDescent="0.2">
      <c r="A51" s="1" t="s">
        <v>57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5064</v>
      </c>
      <c r="Q51" s="3"/>
      <c r="R51" s="3"/>
      <c r="S51" s="3"/>
      <c r="T51" s="3">
        <v>8453</v>
      </c>
      <c r="X51" s="3">
        <v>5984</v>
      </c>
      <c r="Y51" s="3">
        <v>7616</v>
      </c>
      <c r="Z51" s="3">
        <v>5566</v>
      </c>
      <c r="AA51" s="3">
        <v>6002</v>
      </c>
      <c r="AB51" s="3">
        <v>9866</v>
      </c>
      <c r="AC51" s="3"/>
      <c r="AD51" s="3"/>
      <c r="AE51" s="3"/>
      <c r="AF51" s="3"/>
      <c r="AG51" s="3"/>
      <c r="AH51" s="3"/>
      <c r="AI51" s="3"/>
    </row>
    <row r="52" spans="1:35" x14ac:dyDescent="0.2">
      <c r="A52" s="1" t="s">
        <v>58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3595</v>
      </c>
      <c r="Q52" s="3"/>
      <c r="R52" s="3"/>
      <c r="S52" s="3"/>
      <c r="T52" s="3">
        <v>3923</v>
      </c>
      <c r="X52" s="3">
        <v>4876</v>
      </c>
      <c r="Y52" s="3">
        <v>4022</v>
      </c>
      <c r="Z52" s="3">
        <v>3578</v>
      </c>
      <c r="AA52" s="3">
        <v>4943</v>
      </c>
      <c r="AB52" s="3">
        <v>4969</v>
      </c>
      <c r="AC52" s="3"/>
      <c r="AD52" s="3"/>
      <c r="AE52" s="3"/>
      <c r="AF52" s="3"/>
      <c r="AG52" s="3"/>
      <c r="AH52" s="3"/>
      <c r="AI52" s="3"/>
    </row>
    <row r="53" spans="1:35" x14ac:dyDescent="0.2">
      <c r="A53" s="1" t="s">
        <v>59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861</v>
      </c>
      <c r="Q53" s="3"/>
      <c r="R53" s="3"/>
      <c r="S53" s="3"/>
      <c r="T53" s="3">
        <v>1036</v>
      </c>
      <c r="X53" s="3">
        <v>711</v>
      </c>
      <c r="Y53" s="3">
        <v>525</v>
      </c>
      <c r="Z53" s="3">
        <v>600</v>
      </c>
      <c r="AA53" s="3">
        <v>977</v>
      </c>
      <c r="AB53" s="3">
        <v>1143</v>
      </c>
      <c r="AC53" s="3"/>
      <c r="AD53" s="3"/>
      <c r="AE53" s="3"/>
      <c r="AF53" s="3"/>
      <c r="AG53" s="3"/>
      <c r="AH53" s="3"/>
      <c r="AI53" s="3"/>
    </row>
    <row r="54" spans="1:35" x14ac:dyDescent="0.2">
      <c r="A54" s="2" t="s">
        <v>60</v>
      </c>
      <c r="B54" s="8">
        <f t="shared" ref="B54:S54" si="127">+B51-B52-B53</f>
        <v>0</v>
      </c>
      <c r="C54" s="8">
        <f t="shared" si="127"/>
        <v>0</v>
      </c>
      <c r="D54" s="8">
        <f t="shared" si="127"/>
        <v>0</v>
      </c>
      <c r="E54" s="8">
        <f t="shared" si="127"/>
        <v>0</v>
      </c>
      <c r="F54" s="8">
        <f t="shared" si="127"/>
        <v>0</v>
      </c>
      <c r="G54" s="8">
        <f t="shared" si="127"/>
        <v>0</v>
      </c>
      <c r="H54" s="8">
        <f t="shared" si="127"/>
        <v>0</v>
      </c>
      <c r="I54" s="8">
        <f t="shared" si="127"/>
        <v>0</v>
      </c>
      <c r="J54" s="8">
        <f t="shared" si="127"/>
        <v>0</v>
      </c>
      <c r="K54" s="8">
        <f t="shared" si="127"/>
        <v>0</v>
      </c>
      <c r="L54" s="8">
        <f t="shared" si="127"/>
        <v>0</v>
      </c>
      <c r="M54" s="8">
        <f t="shared" si="127"/>
        <v>0</v>
      </c>
      <c r="N54" s="8">
        <f t="shared" si="127"/>
        <v>0</v>
      </c>
      <c r="O54" s="8">
        <f t="shared" si="127"/>
        <v>0</v>
      </c>
      <c r="P54" s="8">
        <f t="shared" si="127"/>
        <v>608</v>
      </c>
      <c r="Q54" s="8">
        <f t="shared" si="127"/>
        <v>0</v>
      </c>
      <c r="R54" s="8">
        <f t="shared" si="127"/>
        <v>0</v>
      </c>
      <c r="S54" s="8">
        <f t="shared" si="127"/>
        <v>0</v>
      </c>
      <c r="T54" s="8">
        <f>+T51-T52-T53</f>
        <v>3494</v>
      </c>
      <c r="U54" s="2"/>
      <c r="V54" s="2"/>
      <c r="W54" s="2"/>
      <c r="X54" s="8">
        <f t="shared" ref="X54" si="128">+X51-X52-X53</f>
        <v>397</v>
      </c>
      <c r="Y54" s="8">
        <f t="shared" ref="Y54" si="129">+Y51-Y52-Y53</f>
        <v>3069</v>
      </c>
      <c r="Z54" s="8">
        <f t="shared" ref="Z54" si="130">+Z51-Z52-Z53</f>
        <v>1388</v>
      </c>
      <c r="AA54" s="8">
        <f t="shared" ref="AA54" si="131">+AA51-AA52-AA53</f>
        <v>82</v>
      </c>
      <c r="AB54" s="8">
        <f t="shared" ref="AB54" si="132">+AB51-AB52-AB53</f>
        <v>3754</v>
      </c>
      <c r="AC54" s="8">
        <f t="shared" ref="AC54" si="133">+AC51-AC52-AC53</f>
        <v>0</v>
      </c>
      <c r="AD54" s="8">
        <f t="shared" ref="AD54" si="134">+AD51-AD52-AD53</f>
        <v>0</v>
      </c>
      <c r="AE54" s="8">
        <f t="shared" ref="AE54" si="135">+AE51-AE52-AE53</f>
        <v>0</v>
      </c>
      <c r="AF54" s="8">
        <f t="shared" ref="AF54" si="136">+AF51-AF52-AF53</f>
        <v>0</v>
      </c>
      <c r="AG54" s="8">
        <f t="shared" ref="AG54" si="137">+AG51-AG52-AG53</f>
        <v>0</v>
      </c>
      <c r="AH54" s="8">
        <f t="shared" ref="AH54" si="138">+AH51-AH52-AH53</f>
        <v>0</v>
      </c>
      <c r="AI54" s="8">
        <f t="shared" ref="AI54" si="139">+AI51-AI52-AI53</f>
        <v>0</v>
      </c>
    </row>
    <row r="56" spans="1:35" x14ac:dyDescent="0.2">
      <c r="A56" s="1" t="s">
        <v>67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>
        <v>46</v>
      </c>
      <c r="Q56" s="11"/>
      <c r="R56" s="11"/>
      <c r="S56" s="11"/>
      <c r="T56" s="11">
        <v>54.8</v>
      </c>
      <c r="X56" s="11"/>
      <c r="Y56" s="11"/>
      <c r="Z56" s="11">
        <v>38.799999999999997</v>
      </c>
      <c r="AA56" s="11">
        <v>46.4</v>
      </c>
      <c r="AB56" s="11">
        <v>46.5</v>
      </c>
      <c r="AC56" s="11"/>
      <c r="AD56" s="11"/>
      <c r="AE56" s="11"/>
      <c r="AF56" s="11"/>
      <c r="AG56" s="11"/>
      <c r="AH56" s="11"/>
      <c r="AI56" s="11"/>
    </row>
    <row r="57" spans="1:35" x14ac:dyDescent="0.2">
      <c r="A57" s="1" t="s">
        <v>68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v>59.7</v>
      </c>
      <c r="Q57" s="11"/>
      <c r="R57" s="11"/>
      <c r="S57" s="11"/>
      <c r="T57" s="11">
        <v>63.5</v>
      </c>
      <c r="X57" s="11"/>
      <c r="Y57" s="11"/>
      <c r="Z57" s="11">
        <v>36</v>
      </c>
      <c r="AA57" s="11">
        <v>56.5</v>
      </c>
      <c r="AB57" s="11">
        <v>66.099999999999994</v>
      </c>
      <c r="AC57" s="11"/>
      <c r="AD57" s="11"/>
      <c r="AE57" s="11"/>
      <c r="AF57" s="11"/>
      <c r="AG57" s="11"/>
      <c r="AH57" s="11"/>
      <c r="AI57" s="11"/>
    </row>
    <row r="58" spans="1:35" x14ac:dyDescent="0.2">
      <c r="A58" s="1" t="s">
        <v>69</v>
      </c>
      <c r="P58" s="1">
        <v>40.4</v>
      </c>
      <c r="T58" s="1">
        <v>35.5</v>
      </c>
      <c r="Z58" s="1">
        <v>43.3</v>
      </c>
      <c r="AA58" s="1">
        <v>61.3</v>
      </c>
      <c r="AB58" s="1">
        <v>37.6</v>
      </c>
    </row>
    <row r="59" spans="1:35" x14ac:dyDescent="0.2">
      <c r="A59" s="1" t="s">
        <v>70</v>
      </c>
      <c r="P59" s="1">
        <v>44</v>
      </c>
      <c r="T59" s="1">
        <v>46.7</v>
      </c>
      <c r="Z59" s="1">
        <v>39.700000000000003</v>
      </c>
      <c r="AA59" s="1">
        <v>42.8</v>
      </c>
      <c r="AB59" s="1">
        <v>43.9</v>
      </c>
    </row>
    <row r="60" spans="1:35" x14ac:dyDescent="0.2">
      <c r="A60" s="1" t="s">
        <v>71</v>
      </c>
      <c r="P60" s="1">
        <v>4.3</v>
      </c>
      <c r="T60" s="1">
        <v>4.4000000000000004</v>
      </c>
      <c r="Z60" s="1">
        <v>4</v>
      </c>
      <c r="AA60" s="1">
        <v>4.4000000000000004</v>
      </c>
      <c r="AB60" s="1">
        <v>4.5999999999999996</v>
      </c>
    </row>
    <row r="61" spans="1:35" x14ac:dyDescent="0.2">
      <c r="A61" s="1" t="s">
        <v>72</v>
      </c>
      <c r="B61" s="11">
        <f t="shared" ref="B61:O61" si="140">+SUM(B56:B60)</f>
        <v>0</v>
      </c>
      <c r="C61" s="11">
        <f t="shared" si="140"/>
        <v>0</v>
      </c>
      <c r="D61" s="11">
        <f t="shared" si="140"/>
        <v>0</v>
      </c>
      <c r="E61" s="11">
        <f t="shared" si="140"/>
        <v>0</v>
      </c>
      <c r="F61" s="11">
        <f t="shared" si="140"/>
        <v>0</v>
      </c>
      <c r="G61" s="11">
        <f t="shared" si="140"/>
        <v>0</v>
      </c>
      <c r="H61" s="11">
        <f t="shared" si="140"/>
        <v>0</v>
      </c>
      <c r="I61" s="11">
        <f t="shared" si="140"/>
        <v>0</v>
      </c>
      <c r="J61" s="11">
        <f t="shared" si="140"/>
        <v>0</v>
      </c>
      <c r="K61" s="11">
        <f t="shared" si="140"/>
        <v>0</v>
      </c>
      <c r="L61" s="11">
        <f t="shared" si="140"/>
        <v>0</v>
      </c>
      <c r="M61" s="11">
        <f t="shared" si="140"/>
        <v>0</v>
      </c>
      <c r="N61" s="11">
        <f t="shared" si="140"/>
        <v>0</v>
      </c>
      <c r="O61" s="11">
        <f t="shared" si="140"/>
        <v>0</v>
      </c>
      <c r="P61" s="11">
        <f>+SUM(P56:P60)</f>
        <v>194.4</v>
      </c>
      <c r="Q61" s="11">
        <f t="shared" ref="Q61:T61" si="141">+SUM(Q56:Q60)</f>
        <v>0</v>
      </c>
      <c r="R61" s="11">
        <f t="shared" si="141"/>
        <v>0</v>
      </c>
      <c r="S61" s="11">
        <f t="shared" si="141"/>
        <v>0</v>
      </c>
      <c r="T61" s="11">
        <f t="shared" si="141"/>
        <v>204.9</v>
      </c>
      <c r="X61" s="11">
        <f t="shared" ref="X61" si="142">+SUM(X56:X60)</f>
        <v>0</v>
      </c>
      <c r="Y61" s="11">
        <f t="shared" ref="Y61" si="143">+SUM(Y56:Y60)</f>
        <v>0</v>
      </c>
      <c r="Z61" s="11">
        <f t="shared" ref="Z61" si="144">+SUM(Z56:Z60)</f>
        <v>161.80000000000001</v>
      </c>
      <c r="AA61" s="11">
        <f t="shared" ref="AA61" si="145">+SUM(AA56:AA60)</f>
        <v>211.4</v>
      </c>
      <c r="AB61" s="11">
        <f t="shared" ref="AB61" si="146">+SUM(AB56:AB60)</f>
        <v>198.7</v>
      </c>
      <c r="AC61" s="11">
        <f>+AB61*1.08</f>
        <v>214.596</v>
      </c>
      <c r="AD61" s="11">
        <f>+AC61*1.07</f>
        <v>229.61772000000002</v>
      </c>
      <c r="AE61" s="11">
        <f>+AD61*1.07</f>
        <v>245.69096040000002</v>
      </c>
      <c r="AF61" s="11">
        <f>+AE61*1.065</f>
        <v>261.660872826</v>
      </c>
      <c r="AG61" s="11">
        <f t="shared" ref="AF61:AI61" si="147">+AF61*1.065</f>
        <v>278.66882955968998</v>
      </c>
      <c r="AH61" s="11">
        <f t="shared" si="147"/>
        <v>296.78230348106979</v>
      </c>
      <c r="AI61" s="11">
        <f t="shared" si="147"/>
        <v>316.07315320733932</v>
      </c>
    </row>
    <row r="62" spans="1:35" x14ac:dyDescent="0.2">
      <c r="T62" s="6">
        <f>+(T11/T61)/3</f>
        <v>9.4436310395314784</v>
      </c>
      <c r="AA62" s="6">
        <f>+(AA11/AA61)/12</f>
        <v>7.0856985178177228</v>
      </c>
      <c r="AB62" s="6">
        <f t="shared" ref="AB62" si="148">+(AB11/AB61)/12</f>
        <v>8.3400436168428111</v>
      </c>
      <c r="AC62" s="6">
        <f>+AB62*1.2</f>
        <v>10.008052340211373</v>
      </c>
      <c r="AD62" s="6">
        <f>+AC62*1.06</f>
        <v>10.608535480624056</v>
      </c>
      <c r="AE62" s="6">
        <f t="shared" ref="AE62:AI62" si="149">+AD62*1.06</f>
        <v>11.2450476094615</v>
      </c>
      <c r="AF62" s="6">
        <f t="shared" si="149"/>
        <v>11.919750466029191</v>
      </c>
      <c r="AG62" s="6">
        <f t="shared" si="149"/>
        <v>12.634935493990943</v>
      </c>
      <c r="AH62" s="6">
        <f t="shared" si="149"/>
        <v>13.393031623630399</v>
      </c>
      <c r="AI62" s="6">
        <f t="shared" si="149"/>
        <v>14.196613521048224</v>
      </c>
    </row>
    <row r="63" spans="1:35" x14ac:dyDescent="0.2">
      <c r="A63" s="2" t="s">
        <v>73</v>
      </c>
    </row>
    <row r="64" spans="1:35" x14ac:dyDescent="0.2">
      <c r="A64" s="1" t="s">
        <v>74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>
        <v>7.31</v>
      </c>
      <c r="Q64" s="6"/>
      <c r="R64" s="6"/>
      <c r="S64" s="6"/>
      <c r="T64" s="6">
        <v>7.74</v>
      </c>
      <c r="X64" s="6"/>
      <c r="Y64" s="6"/>
      <c r="Z64" s="6"/>
      <c r="AA64" s="6">
        <v>6.34</v>
      </c>
      <c r="AB64" s="6">
        <v>6.97</v>
      </c>
      <c r="AC64" s="6"/>
      <c r="AD64" s="6"/>
      <c r="AE64" s="6"/>
      <c r="AF64" s="6"/>
      <c r="AG64" s="6"/>
      <c r="AH64" s="6"/>
      <c r="AI64" s="6"/>
    </row>
    <row r="65" spans="1:107" x14ac:dyDescent="0.2">
      <c r="A65" s="1" t="s">
        <v>75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>
        <v>6.01</v>
      </c>
      <c r="Q65" s="6"/>
      <c r="R65" s="6"/>
      <c r="S65" s="6"/>
      <c r="T65" s="6">
        <v>6.78</v>
      </c>
      <c r="X65" s="6"/>
      <c r="Y65" s="6"/>
      <c r="Z65" s="6"/>
      <c r="AA65" s="6">
        <v>6.1</v>
      </c>
      <c r="AB65" s="6">
        <v>5.93</v>
      </c>
      <c r="AC65" s="6"/>
      <c r="AD65" s="6"/>
      <c r="AE65" s="6"/>
      <c r="AF65" s="6"/>
      <c r="AG65" s="6"/>
      <c r="AH65" s="6"/>
      <c r="AI65" s="6"/>
    </row>
    <row r="66" spans="1:107" x14ac:dyDescent="0.2">
      <c r="A66" s="1" t="s">
        <v>76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>
        <v>0.59</v>
      </c>
      <c r="Q66" s="6"/>
      <c r="R66" s="6"/>
      <c r="S66" s="6"/>
      <c r="T66" s="6">
        <v>1.05</v>
      </c>
      <c r="X66" s="6"/>
      <c r="Y66" s="6"/>
      <c r="Z66" s="6"/>
      <c r="AA66" s="6">
        <v>0.88</v>
      </c>
      <c r="AB66" s="6">
        <v>0.66</v>
      </c>
      <c r="AC66" s="6"/>
      <c r="AD66" s="6"/>
      <c r="AE66" s="6"/>
      <c r="AF66" s="6"/>
      <c r="AG66" s="6"/>
      <c r="AH66" s="6"/>
      <c r="AI66" s="6"/>
    </row>
    <row r="67" spans="1:107" x14ac:dyDescent="0.2">
      <c r="A67" s="1" t="s">
        <v>77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>
        <v>12.39</v>
      </c>
      <c r="Q67" s="6"/>
      <c r="R67" s="6"/>
      <c r="S67" s="6"/>
      <c r="T67" s="6">
        <v>12.73</v>
      </c>
      <c r="X67" s="6"/>
      <c r="Y67" s="6"/>
      <c r="Z67" s="6"/>
      <c r="AA67" s="6">
        <v>12.72</v>
      </c>
      <c r="AB67" s="6">
        <v>12.17</v>
      </c>
      <c r="AC67" s="6"/>
      <c r="AD67" s="6"/>
      <c r="AE67" s="6"/>
      <c r="AF67" s="6"/>
      <c r="AG67" s="6"/>
      <c r="AH67" s="6"/>
      <c r="AI67" s="6"/>
    </row>
    <row r="68" spans="1:107" x14ac:dyDescent="0.2">
      <c r="A68" s="1" t="s">
        <v>78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>
        <v>91.8</v>
      </c>
      <c r="Q68" s="6"/>
      <c r="R68" s="6"/>
      <c r="S68" s="6"/>
      <c r="T68" s="6">
        <v>96.11</v>
      </c>
      <c r="X68" s="6"/>
      <c r="Y68" s="6"/>
      <c r="Z68" s="6"/>
      <c r="AA68" s="6">
        <v>87.62</v>
      </c>
      <c r="AB68" s="6">
        <v>90.52</v>
      </c>
      <c r="AC68" s="6"/>
      <c r="AD68" s="6"/>
      <c r="AE68" s="6"/>
      <c r="AF68" s="6"/>
      <c r="AG68" s="6"/>
      <c r="AH68" s="6"/>
      <c r="AI68" s="6"/>
      <c r="AM68" s="3"/>
    </row>
    <row r="70" spans="1:107" x14ac:dyDescent="0.2">
      <c r="A70" s="1" t="s">
        <v>153</v>
      </c>
      <c r="T70" s="4"/>
      <c r="AA70" s="4">
        <f>-3424/AA11</f>
        <v>-0.19048678720445061</v>
      </c>
      <c r="AB70" s="4">
        <f>-2496/AB11</f>
        <v>-0.12551543799658052</v>
      </c>
      <c r="AC70" s="4">
        <f>+AC76/AC11</f>
        <v>5.3682960467255646E-2</v>
      </c>
      <c r="AD70" s="4">
        <f t="shared" ref="AD70:AI70" si="150">+AD76/AD11</f>
        <v>9.0520597586924184E-2</v>
      </c>
      <c r="AE70" s="4">
        <f t="shared" si="150"/>
        <v>0.12562025988806372</v>
      </c>
      <c r="AF70" s="4">
        <f t="shared" si="150"/>
        <v>0.15513388706682402</v>
      </c>
      <c r="AG70" s="4">
        <f t="shared" si="150"/>
        <v>0.18338459863538717</v>
      </c>
      <c r="AH70" s="4">
        <f t="shared" si="150"/>
        <v>0.21044094098974991</v>
      </c>
      <c r="AI70" s="4">
        <f t="shared" si="150"/>
        <v>0.2363671117445949</v>
      </c>
    </row>
    <row r="71" spans="1:107" x14ac:dyDescent="0.2">
      <c r="T71" s="4"/>
    </row>
    <row r="72" spans="1:107" x14ac:dyDescent="0.2">
      <c r="A72" s="1" t="s">
        <v>154</v>
      </c>
      <c r="T72" s="4"/>
      <c r="AA72" s="3">
        <v>15641</v>
      </c>
      <c r="AB72" s="3">
        <v>17859</v>
      </c>
      <c r="AC72" s="3">
        <f>+AB72*1.1</f>
        <v>19644.900000000001</v>
      </c>
      <c r="AD72" s="3">
        <f t="shared" ref="AD72:AI72" si="151">+AC72*1.1</f>
        <v>21609.390000000003</v>
      </c>
      <c r="AE72" s="3">
        <f t="shared" si="151"/>
        <v>23770.329000000005</v>
      </c>
      <c r="AF72" s="3">
        <f t="shared" si="151"/>
        <v>26147.361900000007</v>
      </c>
      <c r="AG72" s="3">
        <f t="shared" si="151"/>
        <v>28762.09809000001</v>
      </c>
      <c r="AH72" s="3">
        <f t="shared" si="151"/>
        <v>31638.307899000014</v>
      </c>
      <c r="AI72" s="3">
        <f t="shared" si="151"/>
        <v>34802.13868890002</v>
      </c>
      <c r="AL72" s="1" t="s">
        <v>157</v>
      </c>
      <c r="AM72" s="4">
        <v>0.1</v>
      </c>
    </row>
    <row r="73" spans="1:107" x14ac:dyDescent="0.2">
      <c r="A73" s="1" t="s">
        <v>155</v>
      </c>
      <c r="T73" s="4"/>
      <c r="AA73" s="3">
        <v>5395</v>
      </c>
      <c r="AB73" s="3">
        <v>4168</v>
      </c>
      <c r="AC73" s="3">
        <f>+AB73*1.05</f>
        <v>4376.4000000000005</v>
      </c>
      <c r="AD73" s="3">
        <f t="shared" ref="AD73:AI73" si="152">+AC73*1.05</f>
        <v>4595.2200000000012</v>
      </c>
      <c r="AE73" s="3">
        <f t="shared" si="152"/>
        <v>4824.9810000000016</v>
      </c>
      <c r="AF73" s="3">
        <f t="shared" si="152"/>
        <v>5066.2300500000019</v>
      </c>
      <c r="AG73" s="3">
        <f t="shared" si="152"/>
        <v>5319.5415525000026</v>
      </c>
      <c r="AH73" s="3">
        <f t="shared" si="152"/>
        <v>5585.5186301250033</v>
      </c>
      <c r="AI73" s="3">
        <f t="shared" si="152"/>
        <v>5864.7945616312536</v>
      </c>
      <c r="AL73" s="1" t="s">
        <v>158</v>
      </c>
      <c r="AM73" s="4">
        <v>0.02</v>
      </c>
    </row>
    <row r="74" spans="1:107" x14ac:dyDescent="0.2">
      <c r="A74" s="1" t="s">
        <v>37</v>
      </c>
      <c r="T74" s="4"/>
      <c r="AA74" s="3">
        <v>363</v>
      </c>
      <c r="AB74" s="3">
        <v>355</v>
      </c>
      <c r="AC74" s="3">
        <f>+AB74*1.035</f>
        <v>367.42499999999995</v>
      </c>
      <c r="AD74" s="3">
        <f t="shared" ref="AD74:AI74" si="153">+AC74*1.035</f>
        <v>380.28487499999994</v>
      </c>
      <c r="AE74" s="3">
        <f t="shared" si="153"/>
        <v>393.59484562499989</v>
      </c>
      <c r="AF74" s="3">
        <f t="shared" si="153"/>
        <v>407.37066522187484</v>
      </c>
      <c r="AG74" s="3">
        <f t="shared" si="153"/>
        <v>421.62863850464043</v>
      </c>
      <c r="AH74" s="3">
        <f t="shared" si="153"/>
        <v>436.3856408523028</v>
      </c>
      <c r="AI74" s="3">
        <f t="shared" si="153"/>
        <v>451.65913828213337</v>
      </c>
      <c r="AL74" s="1" t="s">
        <v>156</v>
      </c>
      <c r="AM74" s="12">
        <f>+NPV(AM72,AC76:DC76)</f>
        <v>110457.49326862433</v>
      </c>
      <c r="AN74" s="1" t="s">
        <v>159</v>
      </c>
    </row>
    <row r="75" spans="1:107" x14ac:dyDescent="0.2">
      <c r="T75" s="6"/>
    </row>
    <row r="76" spans="1:107" x14ac:dyDescent="0.2">
      <c r="AA76" s="3">
        <f>+AA11-SUM(AA72:AA74)</f>
        <v>-3424</v>
      </c>
      <c r="AB76" s="3">
        <f t="shared" ref="AB76:AI76" si="154">+AB11-SUM(AB72:AB74)</f>
        <v>-2496</v>
      </c>
      <c r="AC76" s="3">
        <f t="shared" si="154"/>
        <v>1383.5309999999918</v>
      </c>
      <c r="AD76" s="3">
        <f t="shared" si="154"/>
        <v>2645.9978801999969</v>
      </c>
      <c r="AE76" s="3">
        <f t="shared" si="154"/>
        <v>4164.7737173228343</v>
      </c>
      <c r="AF76" s="3">
        <f t="shared" si="154"/>
        <v>5806.2251144899346</v>
      </c>
      <c r="AG76" s="3">
        <f t="shared" si="154"/>
        <v>7748.2839470670224</v>
      </c>
      <c r="AH76" s="3">
        <f t="shared" si="154"/>
        <v>10037.565140292783</v>
      </c>
      <c r="AI76" s="3">
        <f t="shared" si="154"/>
        <v>12727.42841675051</v>
      </c>
      <c r="AJ76" s="3">
        <f>+AI76*(1+$AM$73)</f>
        <v>12981.976985085521</v>
      </c>
      <c r="AK76" s="3">
        <f t="shared" ref="AK76:CV76" si="155">+AJ76*(1+$AM$73)</f>
        <v>13241.616524787232</v>
      </c>
      <c r="AL76" s="3">
        <f t="shared" si="155"/>
        <v>13506.448855282977</v>
      </c>
      <c r="AM76" s="3">
        <f t="shared" si="155"/>
        <v>13776.577832388637</v>
      </c>
      <c r="AN76" s="3">
        <f t="shared" si="155"/>
        <v>14052.10938903641</v>
      </c>
      <c r="AO76" s="3">
        <f t="shared" si="155"/>
        <v>14333.151576817138</v>
      </c>
      <c r="AP76" s="3">
        <f t="shared" si="155"/>
        <v>14619.814608353481</v>
      </c>
      <c r="AQ76" s="3">
        <f t="shared" si="155"/>
        <v>14912.210900520551</v>
      </c>
      <c r="AR76" s="3">
        <f t="shared" si="155"/>
        <v>15210.455118530963</v>
      </c>
      <c r="AS76" s="3">
        <f t="shared" si="155"/>
        <v>15514.664220901583</v>
      </c>
      <c r="AT76" s="3">
        <f t="shared" si="155"/>
        <v>15824.957505319615</v>
      </c>
      <c r="AU76" s="3">
        <f t="shared" si="155"/>
        <v>16141.456655426007</v>
      </c>
      <c r="AV76" s="3">
        <f t="shared" si="155"/>
        <v>16464.285788534529</v>
      </c>
      <c r="AW76" s="3">
        <f t="shared" si="155"/>
        <v>16793.571504305219</v>
      </c>
      <c r="AX76" s="3">
        <f t="shared" si="155"/>
        <v>17129.442934391322</v>
      </c>
      <c r="AY76" s="3">
        <f t="shared" si="155"/>
        <v>17472.03179307915</v>
      </c>
      <c r="AZ76" s="3">
        <f t="shared" si="155"/>
        <v>17821.472428940731</v>
      </c>
      <c r="BA76" s="3">
        <f t="shared" si="155"/>
        <v>18177.901877519547</v>
      </c>
      <c r="BB76" s="3">
        <f t="shared" si="155"/>
        <v>18541.45991506994</v>
      </c>
      <c r="BC76" s="3">
        <f t="shared" si="155"/>
        <v>18912.289113371338</v>
      </c>
      <c r="BD76" s="3">
        <f t="shared" si="155"/>
        <v>19290.534895638764</v>
      </c>
      <c r="BE76" s="3">
        <f t="shared" si="155"/>
        <v>19676.345593551541</v>
      </c>
      <c r="BF76" s="3">
        <f t="shared" si="155"/>
        <v>20069.872505422572</v>
      </c>
      <c r="BG76" s="3">
        <f t="shared" si="155"/>
        <v>20471.269955531025</v>
      </c>
      <c r="BH76" s="3">
        <f t="shared" si="155"/>
        <v>20880.695354641644</v>
      </c>
      <c r="BI76" s="3">
        <f t="shared" si="155"/>
        <v>21298.309261734477</v>
      </c>
      <c r="BJ76" s="3">
        <f t="shared" si="155"/>
        <v>21724.275446969168</v>
      </c>
      <c r="BK76" s="3">
        <f t="shared" si="155"/>
        <v>22158.76095590855</v>
      </c>
      <c r="BL76" s="3">
        <f t="shared" si="155"/>
        <v>22601.936175026724</v>
      </c>
      <c r="BM76" s="3">
        <f t="shared" si="155"/>
        <v>23053.97489852726</v>
      </c>
      <c r="BN76" s="3">
        <f t="shared" si="155"/>
        <v>23515.054396497806</v>
      </c>
      <c r="BO76" s="3">
        <f t="shared" si="155"/>
        <v>23985.355484427764</v>
      </c>
      <c r="BP76" s="3">
        <f t="shared" si="155"/>
        <v>24465.06259411632</v>
      </c>
      <c r="BQ76" s="3">
        <f t="shared" si="155"/>
        <v>24954.363845998647</v>
      </c>
      <c r="BR76" s="3">
        <f t="shared" si="155"/>
        <v>25453.451122918621</v>
      </c>
      <c r="BS76" s="3">
        <f t="shared" si="155"/>
        <v>25962.520145376995</v>
      </c>
      <c r="BT76" s="3">
        <f t="shared" si="155"/>
        <v>26481.770548284534</v>
      </c>
      <c r="BU76" s="3">
        <f t="shared" si="155"/>
        <v>27011.405959250224</v>
      </c>
      <c r="BV76" s="3">
        <f t="shared" si="155"/>
        <v>27551.634078435229</v>
      </c>
      <c r="BW76" s="3">
        <f t="shared" si="155"/>
        <v>28102.666760003933</v>
      </c>
      <c r="BX76" s="3">
        <f t="shared" si="155"/>
        <v>28664.720095204011</v>
      </c>
      <c r="BY76" s="3">
        <f t="shared" si="155"/>
        <v>29238.014497108092</v>
      </c>
      <c r="BZ76" s="3">
        <f t="shared" si="155"/>
        <v>29822.774787050254</v>
      </c>
      <c r="CA76" s="3">
        <f t="shared" si="155"/>
        <v>30419.230282791261</v>
      </c>
      <c r="CB76" s="3">
        <f t="shared" si="155"/>
        <v>31027.614888447086</v>
      </c>
      <c r="CC76" s="3">
        <f t="shared" si="155"/>
        <v>31648.167186216029</v>
      </c>
      <c r="CD76" s="3">
        <f t="shared" si="155"/>
        <v>32281.13052994035</v>
      </c>
      <c r="CE76" s="3">
        <f t="shared" si="155"/>
        <v>32926.753140539156</v>
      </c>
      <c r="CF76" s="3">
        <f t="shared" si="155"/>
        <v>33585.288203349941</v>
      </c>
      <c r="CG76" s="3">
        <f t="shared" si="155"/>
        <v>34256.993967416944</v>
      </c>
      <c r="CH76" s="3">
        <f t="shared" si="155"/>
        <v>34942.133846765282</v>
      </c>
      <c r="CI76" s="3">
        <f t="shared" si="155"/>
        <v>35640.976523700585</v>
      </c>
      <c r="CJ76" s="3">
        <f t="shared" si="155"/>
        <v>36353.7960541746</v>
      </c>
      <c r="CK76" s="3">
        <f t="shared" si="155"/>
        <v>37080.871975258095</v>
      </c>
      <c r="CL76" s="3">
        <f t="shared" si="155"/>
        <v>37822.489414763259</v>
      </c>
      <c r="CM76" s="3">
        <f t="shared" si="155"/>
        <v>38578.939203058522</v>
      </c>
      <c r="CN76" s="3">
        <f t="shared" si="155"/>
        <v>39350.517987119696</v>
      </c>
      <c r="CO76" s="3">
        <f t="shared" si="155"/>
        <v>40137.528346862091</v>
      </c>
      <c r="CP76" s="3">
        <f t="shared" si="155"/>
        <v>40940.278913799331</v>
      </c>
      <c r="CQ76" s="3">
        <f t="shared" si="155"/>
        <v>41759.084492075315</v>
      </c>
      <c r="CR76" s="3">
        <f t="shared" si="155"/>
        <v>42594.266181916821</v>
      </c>
      <c r="CS76" s="3">
        <f t="shared" si="155"/>
        <v>43446.151505555157</v>
      </c>
      <c r="CT76" s="3">
        <f t="shared" si="155"/>
        <v>44315.074535666259</v>
      </c>
      <c r="CU76" s="3">
        <f t="shared" si="155"/>
        <v>45201.376026379585</v>
      </c>
      <c r="CV76" s="3">
        <f t="shared" si="155"/>
        <v>46105.403546907175</v>
      </c>
      <c r="CW76" s="3">
        <f t="shared" ref="CW76:DC76" si="156">+CV76*(1+$AM$73)</f>
        <v>47027.511617845317</v>
      </c>
      <c r="CX76" s="3">
        <f t="shared" si="156"/>
        <v>47968.061850202226</v>
      </c>
      <c r="CY76" s="3">
        <f t="shared" si="156"/>
        <v>48927.423087206269</v>
      </c>
      <c r="CZ76" s="3">
        <f t="shared" si="156"/>
        <v>49905.971548950394</v>
      </c>
      <c r="DA76" s="3">
        <f t="shared" si="156"/>
        <v>50904.090979929402</v>
      </c>
      <c r="DB76" s="3">
        <f t="shared" si="156"/>
        <v>51922.172799527994</v>
      </c>
      <c r="DC76" s="3">
        <f t="shared" si="156"/>
        <v>52960.616255518558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F80B-A69E-4609-8580-CEB1274F6D42}">
  <dimension ref="B2:H66"/>
  <sheetViews>
    <sheetView zoomScaleNormal="100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C46" sqref="C46"/>
    </sheetView>
  </sheetViews>
  <sheetFormatPr defaultRowHeight="12.75" x14ac:dyDescent="0.2"/>
  <cols>
    <col min="1" max="1" width="9.140625" style="1"/>
    <col min="2" max="2" width="31.85546875" style="1" customWidth="1"/>
    <col min="3" max="3" width="22.42578125" style="1" customWidth="1"/>
    <col min="4" max="4" width="13.140625" style="1" bestFit="1" customWidth="1"/>
    <col min="5" max="5" width="12.7109375" style="1" bestFit="1" customWidth="1"/>
    <col min="6" max="6" width="19" style="1" bestFit="1" customWidth="1"/>
    <col min="7" max="7" width="13.28515625" style="1" bestFit="1" customWidth="1"/>
    <col min="8" max="8" width="17.5703125" style="1" bestFit="1" customWidth="1"/>
    <col min="9" max="16384" width="9.140625" style="1"/>
  </cols>
  <sheetData>
    <row r="2" spans="2:8" ht="38.25" x14ac:dyDescent="0.2">
      <c r="B2" s="13" t="s">
        <v>80</v>
      </c>
      <c r="C2" s="13" t="s">
        <v>81</v>
      </c>
      <c r="D2" s="1" t="s">
        <v>144</v>
      </c>
      <c r="E2" s="1" t="s">
        <v>146</v>
      </c>
      <c r="F2" s="14" t="s">
        <v>149</v>
      </c>
      <c r="G2" s="1" t="s">
        <v>147</v>
      </c>
      <c r="H2" s="1" t="s">
        <v>148</v>
      </c>
    </row>
    <row r="3" spans="2:8" x14ac:dyDescent="0.2">
      <c r="B3" s="15" t="s">
        <v>145</v>
      </c>
      <c r="C3" s="16">
        <v>380.27800000000002</v>
      </c>
      <c r="D3" s="1">
        <v>54.8</v>
      </c>
      <c r="E3" s="5">
        <f>+D3/C3</f>
        <v>0.14410510205691623</v>
      </c>
      <c r="F3" s="1">
        <f>351.5+42</f>
        <v>393.5</v>
      </c>
      <c r="G3" s="5">
        <v>0.2</v>
      </c>
      <c r="H3" s="3">
        <f>+F3*G3</f>
        <v>78.7</v>
      </c>
    </row>
    <row r="4" spans="2:8" x14ac:dyDescent="0.2">
      <c r="B4" s="15" t="s">
        <v>82</v>
      </c>
      <c r="C4" s="16">
        <v>26.423338000000001</v>
      </c>
      <c r="D4" s="1">
        <v>5</v>
      </c>
      <c r="E4" s="5">
        <f t="shared" ref="E4:E65" si="0">+D4/C4</f>
        <v>0.18922666015928796</v>
      </c>
      <c r="F4" s="1">
        <v>28.2</v>
      </c>
      <c r="G4" s="5">
        <v>0.189</v>
      </c>
      <c r="H4" s="3">
        <f t="shared" ref="H4:H65" si="1">+F4*G4</f>
        <v>5.3297999999999996</v>
      </c>
    </row>
    <row r="5" spans="2:8" x14ac:dyDescent="0.2">
      <c r="B5" s="15" t="s">
        <v>83</v>
      </c>
      <c r="C5" s="16">
        <v>5.2155440000000004</v>
      </c>
      <c r="D5" s="1">
        <v>1</v>
      </c>
      <c r="E5" s="5">
        <f t="shared" si="0"/>
        <v>0.19173455348090246</v>
      </c>
      <c r="F5" s="1">
        <v>5.5</v>
      </c>
      <c r="G5" s="5">
        <v>0.2</v>
      </c>
      <c r="H5" s="3">
        <f t="shared" si="1"/>
        <v>1.1000000000000001</v>
      </c>
    </row>
    <row r="6" spans="2:8" x14ac:dyDescent="0.2">
      <c r="B6" s="15" t="s">
        <v>84</v>
      </c>
      <c r="C6" s="16">
        <v>67.726562999999999</v>
      </c>
      <c r="D6" s="1">
        <v>9.5</v>
      </c>
      <c r="E6" s="5">
        <f t="shared" si="0"/>
        <v>0.14026992629169741</v>
      </c>
      <c r="F6" s="17">
        <v>70</v>
      </c>
      <c r="G6" s="5">
        <v>0.18</v>
      </c>
      <c r="H6" s="3">
        <f t="shared" si="1"/>
        <v>12.6</v>
      </c>
    </row>
    <row r="7" spans="2:8" x14ac:dyDescent="0.2">
      <c r="B7" s="15" t="s">
        <v>85</v>
      </c>
      <c r="C7" s="16">
        <v>5.3191490000000003</v>
      </c>
      <c r="D7" s="3">
        <v>0.6</v>
      </c>
      <c r="E7" s="5">
        <f t="shared" si="0"/>
        <v>0.1127999986464</v>
      </c>
      <c r="F7" s="17">
        <v>5.8</v>
      </c>
      <c r="G7" s="5">
        <v>0.18</v>
      </c>
      <c r="H7" s="3">
        <f t="shared" si="1"/>
        <v>1.044</v>
      </c>
    </row>
    <row r="8" spans="2:8" x14ac:dyDescent="0.2">
      <c r="B8" s="15" t="s">
        <v>86</v>
      </c>
      <c r="C8" s="16">
        <v>83.018148999999994</v>
      </c>
      <c r="D8" s="1">
        <v>6.5</v>
      </c>
      <c r="E8" s="5">
        <f t="shared" si="0"/>
        <v>7.8296132572168053E-2</v>
      </c>
      <c r="F8" s="17">
        <v>82.3</v>
      </c>
      <c r="G8" s="5">
        <v>0.13</v>
      </c>
      <c r="H8" s="3">
        <f t="shared" si="1"/>
        <v>10.699</v>
      </c>
    </row>
    <row r="9" spans="2:8" x14ac:dyDescent="0.2">
      <c r="B9" s="15" t="s">
        <v>87</v>
      </c>
      <c r="C9" s="16">
        <v>9.1824569999999994</v>
      </c>
      <c r="D9" s="1">
        <v>1</v>
      </c>
      <c r="E9" s="5">
        <f t="shared" si="0"/>
        <v>0.10890331422189073</v>
      </c>
      <c r="F9" s="17">
        <v>9.5</v>
      </c>
      <c r="G9" s="5">
        <v>0.13</v>
      </c>
      <c r="H9" s="3">
        <f t="shared" si="1"/>
        <v>1.2350000000000001</v>
      </c>
    </row>
    <row r="10" spans="2:8" x14ac:dyDescent="0.2">
      <c r="B10" s="15" t="s">
        <v>88</v>
      </c>
      <c r="C10" s="16">
        <v>8.8216470000000005</v>
      </c>
      <c r="D10" s="1">
        <v>1.2</v>
      </c>
      <c r="E10" s="5">
        <f t="shared" si="0"/>
        <v>0.13602902043121878</v>
      </c>
      <c r="F10" s="17">
        <v>9.1</v>
      </c>
      <c r="G10" s="5">
        <v>0.15</v>
      </c>
      <c r="H10" s="3">
        <f t="shared" si="1"/>
        <v>1.365</v>
      </c>
    </row>
    <row r="11" spans="2:8" x14ac:dyDescent="0.2">
      <c r="B11" s="15" t="s">
        <v>89</v>
      </c>
      <c r="C11" s="16">
        <v>65.647988999999995</v>
      </c>
      <c r="D11" s="1">
        <v>7</v>
      </c>
      <c r="E11" s="5">
        <f t="shared" si="0"/>
        <v>0.10662931350418062</v>
      </c>
      <c r="F11" s="17">
        <v>67</v>
      </c>
      <c r="G11" s="5">
        <v>0.12</v>
      </c>
      <c r="H11" s="3">
        <f t="shared" si="1"/>
        <v>8.0399999999999991</v>
      </c>
    </row>
    <row r="12" spans="2:8" x14ac:dyDescent="0.2">
      <c r="B12" s="15" t="s">
        <v>90</v>
      </c>
      <c r="C12" s="16">
        <v>59.001379</v>
      </c>
      <c r="D12" s="1">
        <v>4</v>
      </c>
      <c r="E12" s="5">
        <f t="shared" si="0"/>
        <v>6.7795025604401551E-2</v>
      </c>
      <c r="F12" s="17">
        <v>58</v>
      </c>
      <c r="G12" s="5">
        <v>0.1</v>
      </c>
      <c r="H12" s="3">
        <f t="shared" si="1"/>
        <v>5.8000000000000007</v>
      </c>
    </row>
    <row r="13" spans="2:8" x14ac:dyDescent="0.2">
      <c r="B13" s="15" t="s">
        <v>91</v>
      </c>
      <c r="C13" s="16">
        <v>47.847776000000003</v>
      </c>
      <c r="D13" s="1">
        <v>5.5</v>
      </c>
      <c r="E13" s="5">
        <f t="shared" si="0"/>
        <v>0.1149478713493392</v>
      </c>
      <c r="F13" s="17">
        <v>48.2</v>
      </c>
      <c r="G13" s="5">
        <v>0.13</v>
      </c>
      <c r="H13" s="3">
        <f t="shared" si="1"/>
        <v>6.2660000000000009</v>
      </c>
    </row>
    <row r="14" spans="2:8" x14ac:dyDescent="0.2">
      <c r="B14" s="15" t="s">
        <v>92</v>
      </c>
      <c r="C14" s="16">
        <v>17.502634</v>
      </c>
      <c r="E14" s="5">
        <f t="shared" si="0"/>
        <v>0</v>
      </c>
      <c r="F14" s="17">
        <v>18.100000000000001</v>
      </c>
      <c r="G14" s="5">
        <v>0.18</v>
      </c>
      <c r="H14" s="3">
        <f t="shared" si="1"/>
        <v>3.258</v>
      </c>
    </row>
    <row r="15" spans="2:8" x14ac:dyDescent="0.2">
      <c r="B15" s="15" t="s">
        <v>93</v>
      </c>
      <c r="C15" s="16">
        <v>11.749726000000001</v>
      </c>
      <c r="D15" s="1">
        <v>3</v>
      </c>
      <c r="E15" s="5">
        <f t="shared" si="0"/>
        <v>0.25532510290027188</v>
      </c>
      <c r="F15" s="17">
        <v>12.1</v>
      </c>
      <c r="G15" s="5">
        <v>0.25</v>
      </c>
      <c r="H15" s="3">
        <f t="shared" si="1"/>
        <v>3.0249999999999999</v>
      </c>
    </row>
    <row r="16" spans="2:8" x14ac:dyDescent="0.2">
      <c r="B16" s="15" t="s">
        <v>94</v>
      </c>
      <c r="C16" s="16">
        <v>0.66942599999999997</v>
      </c>
      <c r="E16" s="5">
        <f t="shared" si="0"/>
        <v>0</v>
      </c>
      <c r="F16" s="17">
        <v>0.75</v>
      </c>
      <c r="G16" s="5">
        <v>0.12</v>
      </c>
      <c r="H16" s="3">
        <f t="shared" si="1"/>
        <v>0.09</v>
      </c>
    </row>
    <row r="17" spans="2:8" x14ac:dyDescent="0.2">
      <c r="B17" s="15" t="s">
        <v>95</v>
      </c>
      <c r="C17" s="16">
        <v>5.9611479999999997</v>
      </c>
      <c r="E17" s="5">
        <f t="shared" si="0"/>
        <v>0</v>
      </c>
      <c r="F17" s="17">
        <v>6.2</v>
      </c>
      <c r="G17" s="5">
        <v>0.12</v>
      </c>
      <c r="H17" s="3">
        <f t="shared" si="1"/>
        <v>0.74399999999999999</v>
      </c>
    </row>
    <row r="18" spans="2:8" x14ac:dyDescent="0.2">
      <c r="B18" s="15" t="s">
        <v>96</v>
      </c>
      <c r="C18" s="16">
        <v>5.5542910000000001</v>
      </c>
      <c r="E18" s="5">
        <f t="shared" si="0"/>
        <v>0</v>
      </c>
      <c r="F18" s="17">
        <v>6</v>
      </c>
      <c r="G18" s="5">
        <v>0.12</v>
      </c>
      <c r="H18" s="3">
        <f t="shared" si="1"/>
        <v>0.72</v>
      </c>
    </row>
    <row r="19" spans="2:8" x14ac:dyDescent="0.2">
      <c r="B19" s="15" t="s">
        <v>97</v>
      </c>
      <c r="C19" s="16">
        <v>10.451053</v>
      </c>
      <c r="E19" s="5">
        <f t="shared" si="0"/>
        <v>0</v>
      </c>
      <c r="F19" s="17">
        <v>11</v>
      </c>
      <c r="G19" s="5">
        <v>0.12</v>
      </c>
      <c r="H19" s="3">
        <f t="shared" si="1"/>
        <v>1.3199999999999998</v>
      </c>
    </row>
    <row r="20" spans="2:8" x14ac:dyDescent="0.2">
      <c r="B20" s="15" t="s">
        <v>98</v>
      </c>
      <c r="C20" s="16">
        <v>5.6078849999999996</v>
      </c>
      <c r="E20" s="5">
        <f t="shared" si="0"/>
        <v>0</v>
      </c>
      <c r="F20" s="17">
        <v>5.8</v>
      </c>
      <c r="G20" s="5">
        <v>0.12</v>
      </c>
      <c r="H20" s="3">
        <f t="shared" si="1"/>
        <v>0.69599999999999995</v>
      </c>
    </row>
    <row r="21" spans="2:8" x14ac:dyDescent="0.2">
      <c r="B21" s="15" t="s">
        <v>99</v>
      </c>
      <c r="C21" s="16">
        <v>0.38712299999999999</v>
      </c>
      <c r="E21" s="5">
        <f t="shared" si="0"/>
        <v>0</v>
      </c>
      <c r="F21" s="17">
        <v>0.4</v>
      </c>
      <c r="G21" s="5">
        <v>0.12</v>
      </c>
      <c r="H21" s="3">
        <f t="shared" si="1"/>
        <v>4.8000000000000001E-2</v>
      </c>
    </row>
    <row r="22" spans="2:8" x14ac:dyDescent="0.2">
      <c r="B22" s="15" t="s">
        <v>100</v>
      </c>
      <c r="C22" s="16">
        <v>1429.6702330000001</v>
      </c>
      <c r="D22" s="1">
        <v>61</v>
      </c>
      <c r="E22" s="5">
        <f t="shared" si="0"/>
        <v>4.26671819780415E-2</v>
      </c>
      <c r="F22" s="17">
        <v>1512</v>
      </c>
      <c r="G22" s="5">
        <v>6.5000000000000002E-2</v>
      </c>
      <c r="H22" s="3">
        <f t="shared" si="1"/>
        <v>98.28</v>
      </c>
    </row>
    <row r="23" spans="2:8" x14ac:dyDescent="0.2">
      <c r="B23" s="15" t="s">
        <v>101</v>
      </c>
      <c r="C23" s="16">
        <v>282.40195899999998</v>
      </c>
      <c r="D23" s="1">
        <v>4</v>
      </c>
      <c r="E23" s="5">
        <f t="shared" si="0"/>
        <v>1.4164207692341115E-2</v>
      </c>
      <c r="F23" s="17">
        <v>297</v>
      </c>
      <c r="G23" s="5">
        <f t="shared" ref="G23:G48" si="2">+E23*1.2</f>
        <v>1.6997049230809337E-2</v>
      </c>
      <c r="H23" s="3">
        <f t="shared" si="1"/>
        <v>5.0481236215503733</v>
      </c>
    </row>
    <row r="24" spans="2:8" x14ac:dyDescent="0.2">
      <c r="B24" s="15" t="s">
        <v>102</v>
      </c>
      <c r="C24" s="16">
        <v>123.95169199999999</v>
      </c>
      <c r="D24" s="1">
        <v>4.5</v>
      </c>
      <c r="E24" s="5">
        <f t="shared" si="0"/>
        <v>3.6304466097969848E-2</v>
      </c>
      <c r="F24" s="17">
        <v>120</v>
      </c>
      <c r="G24" s="5">
        <f t="shared" si="2"/>
        <v>4.3565359317563813E-2</v>
      </c>
      <c r="H24" s="3">
        <f t="shared" si="1"/>
        <v>5.2278431181076579</v>
      </c>
    </row>
    <row r="25" spans="2:8" x14ac:dyDescent="0.2">
      <c r="B25" s="15" t="s">
        <v>103</v>
      </c>
      <c r="C25" s="16">
        <v>34.460017000000001</v>
      </c>
      <c r="D25" s="1">
        <v>3</v>
      </c>
      <c r="E25" s="5">
        <f t="shared" si="0"/>
        <v>8.705741497457764E-2</v>
      </c>
      <c r="F25" s="17">
        <v>36</v>
      </c>
      <c r="G25" s="5">
        <f t="shared" si="2"/>
        <v>0.10446889796949317</v>
      </c>
      <c r="H25" s="3">
        <f t="shared" si="1"/>
        <v>3.7608803269017543</v>
      </c>
    </row>
    <row r="26" spans="2:8" x14ac:dyDescent="0.2">
      <c r="B26" s="15" t="s">
        <v>104</v>
      </c>
      <c r="C26" s="16">
        <v>70.929777999999999</v>
      </c>
      <c r="E26" s="5">
        <f t="shared" si="0"/>
        <v>0</v>
      </c>
      <c r="F26" s="17">
        <v>72</v>
      </c>
      <c r="G26" s="5">
        <v>0.03</v>
      </c>
      <c r="H26" s="3">
        <f t="shared" si="1"/>
        <v>2.16</v>
      </c>
    </row>
    <row r="27" spans="2:8" x14ac:dyDescent="0.2">
      <c r="B27" s="15" t="s">
        <v>105</v>
      </c>
      <c r="C27" s="16">
        <v>5.7538359999999997</v>
      </c>
      <c r="E27" s="5">
        <f t="shared" si="0"/>
        <v>0</v>
      </c>
      <c r="F27" s="17">
        <v>6</v>
      </c>
      <c r="G27" s="5">
        <v>7.0000000000000007E-2</v>
      </c>
      <c r="H27" s="3">
        <f t="shared" si="1"/>
        <v>0.42000000000000004</v>
      </c>
    </row>
    <row r="28" spans="2:8" x14ac:dyDescent="0.2">
      <c r="B28" s="15" t="s">
        <v>106</v>
      </c>
      <c r="C28" s="16">
        <v>117.912052</v>
      </c>
      <c r="E28" s="5">
        <f t="shared" si="0"/>
        <v>0</v>
      </c>
      <c r="F28" s="17">
        <v>130</v>
      </c>
      <c r="G28" s="5">
        <v>0.04</v>
      </c>
      <c r="H28" s="3">
        <f t="shared" si="1"/>
        <v>5.2</v>
      </c>
    </row>
    <row r="29" spans="2:8" x14ac:dyDescent="0.2">
      <c r="B29" s="15" t="s">
        <v>107</v>
      </c>
      <c r="C29" s="16">
        <v>51.784526</v>
      </c>
      <c r="D29" s="1">
        <v>2.5</v>
      </c>
      <c r="E29" s="5">
        <f t="shared" si="0"/>
        <v>4.8276969842303855E-2</v>
      </c>
      <c r="F29" s="17">
        <v>52</v>
      </c>
      <c r="G29" s="5">
        <v>7.0000000000000007E-2</v>
      </c>
      <c r="H29" s="3">
        <f t="shared" si="1"/>
        <v>3.6400000000000006</v>
      </c>
    </row>
    <row r="30" spans="2:8" x14ac:dyDescent="0.2">
      <c r="B30" s="15" t="s">
        <v>108</v>
      </c>
      <c r="C30" s="16">
        <v>7.6768580000000002</v>
      </c>
      <c r="E30" s="5">
        <f t="shared" si="0"/>
        <v>0</v>
      </c>
      <c r="F30" s="17">
        <v>7.7</v>
      </c>
      <c r="G30" s="5">
        <v>0.05</v>
      </c>
      <c r="H30" s="3">
        <f t="shared" si="1"/>
        <v>0.38500000000000001</v>
      </c>
    </row>
    <row r="31" spans="2:8" x14ac:dyDescent="0.2">
      <c r="B31" s="15" t="s">
        <v>109</v>
      </c>
      <c r="C31" s="16">
        <v>23.463063999999999</v>
      </c>
      <c r="E31" s="5">
        <f t="shared" si="0"/>
        <v>0</v>
      </c>
      <c r="F31" s="17">
        <v>24</v>
      </c>
      <c r="G31" s="5">
        <v>0.05</v>
      </c>
      <c r="H31" s="3">
        <f t="shared" si="1"/>
        <v>1.2000000000000002</v>
      </c>
    </row>
    <row r="32" spans="2:8" x14ac:dyDescent="0.2">
      <c r="B32" s="15" t="s">
        <v>110</v>
      </c>
      <c r="C32" s="16">
        <v>215.45383699999999</v>
      </c>
      <c r="D32" s="1">
        <v>9</v>
      </c>
      <c r="E32" s="5">
        <f t="shared" si="0"/>
        <v>4.1772289253776435E-2</v>
      </c>
      <c r="F32" s="17">
        <v>222</v>
      </c>
      <c r="G32" s="5">
        <v>0.08</v>
      </c>
      <c r="H32" s="3">
        <f t="shared" si="1"/>
        <v>17.760000000000002</v>
      </c>
    </row>
    <row r="33" spans="2:8" x14ac:dyDescent="0.2">
      <c r="B33" s="15" t="s">
        <v>111</v>
      </c>
      <c r="C33" s="16">
        <v>46.33887</v>
      </c>
      <c r="D33" s="1">
        <v>4</v>
      </c>
      <c r="E33" s="5">
        <f t="shared" si="0"/>
        <v>8.6320620248184737E-2</v>
      </c>
      <c r="F33" s="17">
        <v>48</v>
      </c>
      <c r="G33" s="5">
        <v>0.08</v>
      </c>
      <c r="H33" s="3">
        <f t="shared" si="1"/>
        <v>3.84</v>
      </c>
    </row>
    <row r="34" spans="2:8" x14ac:dyDescent="0.2">
      <c r="B34" s="15" t="s">
        <v>112</v>
      </c>
      <c r="C34" s="16">
        <v>19.299913</v>
      </c>
      <c r="E34" s="5">
        <f t="shared" si="0"/>
        <v>0</v>
      </c>
      <c r="F34" s="17">
        <v>20.2</v>
      </c>
      <c r="G34" s="5">
        <v>7.0000000000000007E-2</v>
      </c>
      <c r="H34" s="3">
        <f t="shared" si="1"/>
        <v>1.4140000000000001</v>
      </c>
    </row>
    <row r="35" spans="2:8" x14ac:dyDescent="0.2">
      <c r="B35" s="15" t="s">
        <v>113</v>
      </c>
      <c r="C35" s="16">
        <v>54.146014999999998</v>
      </c>
      <c r="E35" s="5">
        <f t="shared" si="0"/>
        <v>0</v>
      </c>
      <c r="F35" s="17">
        <v>56</v>
      </c>
      <c r="G35" s="5">
        <v>0.04</v>
      </c>
      <c r="H35" s="3">
        <f t="shared" si="1"/>
        <v>2.2400000000000002</v>
      </c>
    </row>
    <row r="36" spans="2:8" x14ac:dyDescent="0.2">
      <c r="B36" s="15" t="s">
        <v>114</v>
      </c>
      <c r="C36" s="16">
        <v>128.129121</v>
      </c>
      <c r="D36" s="1">
        <v>12</v>
      </c>
      <c r="E36" s="5">
        <f t="shared" si="0"/>
        <v>9.365552425822074E-2</v>
      </c>
      <c r="F36" s="17">
        <v>135</v>
      </c>
      <c r="G36" s="5">
        <f t="shared" si="2"/>
        <v>0.11238662910986488</v>
      </c>
      <c r="H36" s="3">
        <f t="shared" si="1"/>
        <v>15.172194929831759</v>
      </c>
    </row>
    <row r="37" spans="2:8" x14ac:dyDescent="0.2">
      <c r="B37" s="15" t="s">
        <v>115</v>
      </c>
      <c r="C37" s="16">
        <v>34.344631</v>
      </c>
      <c r="E37" s="5">
        <f t="shared" si="0"/>
        <v>0</v>
      </c>
      <c r="F37" s="17">
        <v>36</v>
      </c>
      <c r="G37" s="5">
        <v>0.05</v>
      </c>
      <c r="H37" s="3">
        <f t="shared" si="1"/>
        <v>1.8</v>
      </c>
    </row>
    <row r="38" spans="2:8" x14ac:dyDescent="0.2">
      <c r="B38" s="15" t="s">
        <v>116</v>
      </c>
      <c r="C38" s="16">
        <v>5.522405</v>
      </c>
      <c r="E38" s="5">
        <f t="shared" si="0"/>
        <v>0</v>
      </c>
      <c r="F38" s="17">
        <v>5.8</v>
      </c>
      <c r="G38" s="5">
        <v>0.02</v>
      </c>
      <c r="H38" s="3">
        <f t="shared" si="1"/>
        <v>0.11599999999999999</v>
      </c>
    </row>
    <row r="39" spans="2:8" x14ac:dyDescent="0.2">
      <c r="B39" s="15" t="s">
        <v>117</v>
      </c>
      <c r="C39" s="16">
        <v>3.6060159999999999</v>
      </c>
      <c r="E39" s="5">
        <f t="shared" si="0"/>
        <v>0</v>
      </c>
      <c r="F39" s="17">
        <v>3.7</v>
      </c>
      <c r="G39" s="5">
        <v>0.08</v>
      </c>
      <c r="H39" s="3">
        <f t="shared" si="1"/>
        <v>0.29600000000000004</v>
      </c>
    </row>
    <row r="40" spans="2:8" x14ac:dyDescent="0.2">
      <c r="B40" s="15" t="s">
        <v>118</v>
      </c>
      <c r="C40" s="16">
        <v>10.117482000000001</v>
      </c>
      <c r="E40" s="5">
        <f t="shared" si="0"/>
        <v>0</v>
      </c>
      <c r="F40" s="17">
        <v>10.199999999999999</v>
      </c>
      <c r="G40" s="5">
        <v>0.08</v>
      </c>
      <c r="H40" s="3">
        <f t="shared" si="1"/>
        <v>0.81599999999999995</v>
      </c>
    </row>
    <row r="41" spans="2:8" x14ac:dyDescent="0.2">
      <c r="B41" s="15" t="s">
        <v>119</v>
      </c>
      <c r="C41" s="16">
        <v>37.498027999999998</v>
      </c>
      <c r="E41" s="5">
        <f t="shared" si="0"/>
        <v>0</v>
      </c>
      <c r="F41" s="17">
        <v>37</v>
      </c>
      <c r="G41" s="5">
        <v>0.08</v>
      </c>
      <c r="H41" s="3">
        <f t="shared" si="1"/>
        <v>2.96</v>
      </c>
    </row>
    <row r="42" spans="2:8" x14ac:dyDescent="0.2">
      <c r="B42" s="15" t="s">
        <v>120</v>
      </c>
      <c r="C42" s="16">
        <v>9.5095430000000007</v>
      </c>
      <c r="E42" s="5">
        <f t="shared" si="0"/>
        <v>0</v>
      </c>
      <c r="F42" s="17">
        <v>9.3000000000000007</v>
      </c>
      <c r="G42" s="5">
        <v>0.08</v>
      </c>
      <c r="H42" s="3">
        <f t="shared" si="1"/>
        <v>0.74400000000000011</v>
      </c>
    </row>
    <row r="43" spans="2:8" x14ac:dyDescent="0.2">
      <c r="B43" s="15" t="s">
        <v>121</v>
      </c>
      <c r="C43" s="16">
        <v>10.703759</v>
      </c>
      <c r="E43" s="5">
        <f t="shared" si="0"/>
        <v>0</v>
      </c>
      <c r="F43" s="17">
        <v>10.9</v>
      </c>
      <c r="G43" s="5">
        <v>0.08</v>
      </c>
      <c r="H43" s="3">
        <f t="shared" si="1"/>
        <v>0.872</v>
      </c>
    </row>
    <row r="44" spans="2:8" x14ac:dyDescent="0.2">
      <c r="B44" s="15" t="s">
        <v>122</v>
      </c>
      <c r="C44" s="16">
        <v>5.4002270000000001</v>
      </c>
      <c r="E44" s="5">
        <f t="shared" si="0"/>
        <v>0</v>
      </c>
      <c r="F44" s="17">
        <v>5.5</v>
      </c>
      <c r="G44" s="5">
        <v>0.08</v>
      </c>
      <c r="H44" s="3">
        <f t="shared" si="1"/>
        <v>0.44</v>
      </c>
    </row>
    <row r="45" spans="2:8" x14ac:dyDescent="0.2">
      <c r="B45" s="15" t="s">
        <v>123</v>
      </c>
      <c r="C45" s="16">
        <v>17.749887999999999</v>
      </c>
      <c r="E45" s="5">
        <f t="shared" si="0"/>
        <v>0</v>
      </c>
      <c r="F45" s="17">
        <v>17</v>
      </c>
      <c r="G45" s="5">
        <v>0.08</v>
      </c>
      <c r="H45" s="3">
        <f t="shared" si="1"/>
        <v>1.36</v>
      </c>
    </row>
    <row r="46" spans="2:8" x14ac:dyDescent="0.2">
      <c r="B46" s="15" t="s">
        <v>124</v>
      </c>
      <c r="C46" s="16">
        <v>10.069243999999999</v>
      </c>
      <c r="E46" s="5">
        <f t="shared" si="0"/>
        <v>0</v>
      </c>
      <c r="F46" s="17">
        <v>9.8000000000000007</v>
      </c>
      <c r="G46" s="5">
        <v>0.08</v>
      </c>
      <c r="H46" s="3">
        <f t="shared" si="1"/>
        <v>0.78400000000000003</v>
      </c>
    </row>
    <row r="47" spans="2:8" x14ac:dyDescent="0.2">
      <c r="B47" s="15" t="s">
        <v>125</v>
      </c>
      <c r="C47" s="16">
        <v>87.547918999999993</v>
      </c>
      <c r="D47" s="1">
        <v>2</v>
      </c>
      <c r="E47" s="5">
        <f t="shared" si="0"/>
        <v>2.2844632092283088E-2</v>
      </c>
      <c r="F47" s="17">
        <v>95</v>
      </c>
      <c r="G47" s="5">
        <v>0.04</v>
      </c>
      <c r="H47" s="3">
        <f t="shared" si="1"/>
        <v>3.8000000000000003</v>
      </c>
    </row>
    <row r="48" spans="2:8" x14ac:dyDescent="0.2">
      <c r="B48" s="15" t="s">
        <v>126</v>
      </c>
      <c r="C48" s="16">
        <v>61.498731999999997</v>
      </c>
      <c r="D48" s="1">
        <v>1</v>
      </c>
      <c r="E48" s="5">
        <f t="shared" si="0"/>
        <v>1.626049785872008E-2</v>
      </c>
      <c r="F48" s="17">
        <v>66</v>
      </c>
      <c r="G48" s="5">
        <f t="shared" si="2"/>
        <v>1.9512597430464095E-2</v>
      </c>
      <c r="H48" s="3">
        <f t="shared" si="1"/>
        <v>1.2878314304106302</v>
      </c>
    </row>
    <row r="49" spans="2:8" x14ac:dyDescent="0.2">
      <c r="B49" s="15" t="s">
        <v>127</v>
      </c>
      <c r="C49" s="16">
        <v>10.341127999999999</v>
      </c>
      <c r="E49" s="5">
        <f t="shared" si="0"/>
        <v>0</v>
      </c>
      <c r="F49" s="17">
        <v>11</v>
      </c>
      <c r="G49" s="5">
        <v>0.04</v>
      </c>
      <c r="H49" s="3">
        <f t="shared" si="1"/>
        <v>0.44</v>
      </c>
    </row>
    <row r="50" spans="2:8" x14ac:dyDescent="0.2">
      <c r="B50" s="15" t="s">
        <v>128</v>
      </c>
      <c r="C50" s="16">
        <v>37.833419999999997</v>
      </c>
      <c r="E50" s="5">
        <f t="shared" si="0"/>
        <v>0</v>
      </c>
      <c r="F50" s="17">
        <v>39.5</v>
      </c>
      <c r="G50" s="5">
        <v>0.04</v>
      </c>
      <c r="H50" s="3">
        <f t="shared" si="1"/>
        <v>1.58</v>
      </c>
    </row>
    <row r="51" spans="2:8" x14ac:dyDescent="0.2">
      <c r="B51" s="15" t="s">
        <v>129</v>
      </c>
      <c r="C51" s="16">
        <v>2.7163909999999998</v>
      </c>
      <c r="E51" s="5">
        <f t="shared" si="0"/>
        <v>0</v>
      </c>
      <c r="F51" s="17">
        <v>3</v>
      </c>
      <c r="G51" s="5">
        <v>0.03</v>
      </c>
      <c r="H51" s="3">
        <f t="shared" si="1"/>
        <v>0.09</v>
      </c>
    </row>
    <row r="52" spans="2:8" x14ac:dyDescent="0.2">
      <c r="B52" s="15" t="s">
        <v>130</v>
      </c>
      <c r="C52" s="16">
        <v>9.6245200000000004</v>
      </c>
      <c r="E52" s="5">
        <f t="shared" si="0"/>
        <v>0</v>
      </c>
      <c r="F52" s="17">
        <v>10.3</v>
      </c>
      <c r="G52" s="5">
        <v>0.06</v>
      </c>
      <c r="H52" s="3">
        <f t="shared" si="1"/>
        <v>0.61799999999999999</v>
      </c>
    </row>
    <row r="53" spans="2:8" x14ac:dyDescent="0.2">
      <c r="B53" s="15" t="s">
        <v>131</v>
      </c>
      <c r="C53" s="16">
        <v>38.582551000000002</v>
      </c>
      <c r="E53" s="5">
        <f t="shared" si="0"/>
        <v>0</v>
      </c>
      <c r="F53" s="17">
        <v>41</v>
      </c>
      <c r="G53" s="5">
        <v>0.02</v>
      </c>
      <c r="H53" s="3">
        <f t="shared" si="1"/>
        <v>0.82000000000000006</v>
      </c>
    </row>
    <row r="54" spans="2:8" x14ac:dyDescent="0.2">
      <c r="B54" s="15" t="s">
        <v>132</v>
      </c>
      <c r="C54" s="16">
        <v>112.15461000000001</v>
      </c>
      <c r="E54" s="5">
        <f t="shared" si="0"/>
        <v>0</v>
      </c>
      <c r="F54" s="17">
        <v>127</v>
      </c>
      <c r="G54" s="5">
        <v>0.02</v>
      </c>
      <c r="H54" s="3">
        <f t="shared" si="1"/>
        <v>2.54</v>
      </c>
    </row>
    <row r="55" spans="2:8" x14ac:dyDescent="0.2">
      <c r="B55" s="15" t="s">
        <v>133</v>
      </c>
      <c r="C55" s="16">
        <v>44.510855999999997</v>
      </c>
      <c r="E55" s="5">
        <f t="shared" si="0"/>
        <v>0</v>
      </c>
      <c r="F55" s="17">
        <v>48</v>
      </c>
      <c r="G55" s="5">
        <v>0.02</v>
      </c>
      <c r="H55" s="3">
        <f t="shared" si="1"/>
        <v>0.96</v>
      </c>
    </row>
    <row r="56" spans="2:8" x14ac:dyDescent="0.2">
      <c r="B56" s="15" t="s">
        <v>134</v>
      </c>
      <c r="C56" s="16">
        <v>12.66755</v>
      </c>
      <c r="E56" s="5">
        <f t="shared" si="0"/>
        <v>0</v>
      </c>
      <c r="F56" s="17">
        <v>13.5</v>
      </c>
      <c r="G56" s="5">
        <v>0.02</v>
      </c>
      <c r="H56" s="3">
        <f t="shared" si="1"/>
        <v>0.27</v>
      </c>
    </row>
    <row r="57" spans="2:8" x14ac:dyDescent="0.2">
      <c r="B57" s="15" t="s">
        <v>135</v>
      </c>
      <c r="C57" s="16">
        <v>33.949562999999998</v>
      </c>
      <c r="E57" s="5">
        <f t="shared" si="0"/>
        <v>0</v>
      </c>
      <c r="F57" s="17">
        <v>35</v>
      </c>
      <c r="G57" s="5">
        <v>5.0000000000000001E-3</v>
      </c>
      <c r="H57" s="3">
        <f t="shared" si="1"/>
        <v>0.17500000000000002</v>
      </c>
    </row>
    <row r="58" spans="2:8" x14ac:dyDescent="0.2">
      <c r="B58" s="15" t="s">
        <v>136</v>
      </c>
      <c r="C58" s="16">
        <v>12.183996</v>
      </c>
      <c r="E58" s="5">
        <f t="shared" si="0"/>
        <v>0</v>
      </c>
      <c r="F58" s="17">
        <v>13.2</v>
      </c>
      <c r="G58" s="5">
        <v>5.0000000000000001E-3</v>
      </c>
      <c r="H58" s="3">
        <f t="shared" si="1"/>
        <v>6.6000000000000003E-2</v>
      </c>
    </row>
    <row r="59" spans="2:8" x14ac:dyDescent="0.2">
      <c r="B59" s="15" t="s">
        <v>137</v>
      </c>
      <c r="C59" s="16">
        <v>7.6161469999999998</v>
      </c>
      <c r="E59" s="5">
        <f t="shared" si="0"/>
        <v>0</v>
      </c>
      <c r="F59" s="17">
        <v>8</v>
      </c>
      <c r="G59" s="5">
        <v>0.05</v>
      </c>
      <c r="H59" s="3">
        <f t="shared" si="1"/>
        <v>0.4</v>
      </c>
    </row>
    <row r="60" spans="2:8" x14ac:dyDescent="0.2">
      <c r="B60" s="15" t="s">
        <v>138</v>
      </c>
      <c r="C60" s="16">
        <v>11.014063</v>
      </c>
      <c r="E60" s="5">
        <f t="shared" si="0"/>
        <v>0</v>
      </c>
      <c r="F60" s="17">
        <v>12</v>
      </c>
      <c r="G60" s="5">
        <v>0.02</v>
      </c>
      <c r="H60" s="3">
        <f t="shared" si="1"/>
        <v>0.24</v>
      </c>
    </row>
    <row r="61" spans="2:8" x14ac:dyDescent="0.2">
      <c r="B61" s="15" t="s">
        <v>139</v>
      </c>
      <c r="C61" s="16">
        <v>18.230837000000001</v>
      </c>
      <c r="E61" s="5">
        <f t="shared" si="0"/>
        <v>0</v>
      </c>
      <c r="F61" s="17">
        <v>19.5</v>
      </c>
      <c r="G61" s="5">
        <v>0.03</v>
      </c>
      <c r="H61" s="3">
        <f t="shared" si="1"/>
        <v>0.58499999999999996</v>
      </c>
    </row>
    <row r="62" spans="2:8" x14ac:dyDescent="0.2">
      <c r="B62" s="15" t="s">
        <v>140</v>
      </c>
      <c r="C62" s="16">
        <v>4.6455950000000001</v>
      </c>
      <c r="E62" s="5">
        <f t="shared" si="0"/>
        <v>0</v>
      </c>
      <c r="F62" s="17">
        <v>5</v>
      </c>
      <c r="G62" s="5">
        <v>0.03</v>
      </c>
      <c r="H62" s="3">
        <f t="shared" si="1"/>
        <v>0.15</v>
      </c>
    </row>
    <row r="63" spans="2:8" x14ac:dyDescent="0.2">
      <c r="B63" s="15" t="s">
        <v>141</v>
      </c>
      <c r="C63" s="16">
        <v>3.0896249999999998</v>
      </c>
      <c r="E63" s="5">
        <f t="shared" si="0"/>
        <v>0</v>
      </c>
      <c r="F63" s="17">
        <v>3</v>
      </c>
      <c r="G63" s="5">
        <v>0.03</v>
      </c>
      <c r="H63" s="3">
        <f t="shared" si="1"/>
        <v>0.09</v>
      </c>
    </row>
    <row r="64" spans="2:8" x14ac:dyDescent="0.2">
      <c r="B64" s="15" t="s">
        <v>142</v>
      </c>
      <c r="C64" s="16">
        <v>1.366725</v>
      </c>
      <c r="E64" s="5">
        <f t="shared" si="0"/>
        <v>0</v>
      </c>
      <c r="F64" s="17">
        <v>1.4</v>
      </c>
      <c r="G64" s="5">
        <v>0.03</v>
      </c>
      <c r="H64" s="3">
        <f t="shared" si="1"/>
        <v>4.1999999999999996E-2</v>
      </c>
    </row>
    <row r="65" spans="2:8" x14ac:dyDescent="0.2">
      <c r="B65" s="15" t="s">
        <v>143</v>
      </c>
      <c r="C65" s="16">
        <v>2.7926090000000001</v>
      </c>
      <c r="E65" s="5">
        <f t="shared" si="0"/>
        <v>0</v>
      </c>
      <c r="F65" s="17">
        <v>2.9</v>
      </c>
      <c r="G65" s="5">
        <v>0.01</v>
      </c>
      <c r="H65" s="3">
        <f t="shared" si="1"/>
        <v>2.8999999999999998E-2</v>
      </c>
    </row>
    <row r="66" spans="2:8" x14ac:dyDescent="0.2">
      <c r="G66" s="5">
        <f>+AVERAGE(G3:G65)</f>
        <v>7.9538579889812583E-2</v>
      </c>
      <c r="H66" s="3">
        <f>+SUM(H3:H65)</f>
        <v>332.19867342680186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Disney+ 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2024-08-10T17:23:06Z</dcterms:created>
  <dcterms:modified xsi:type="dcterms:W3CDTF">2024-08-17T13:59:11Z</dcterms:modified>
</cp:coreProperties>
</file>