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decc0a7aee32c85f/Ambiente de Trabalho/models/"/>
    </mc:Choice>
  </mc:AlternateContent>
  <xr:revisionPtr revIDLastSave="396" documentId="8_{8733EA41-2AF8-45E2-8393-864AE557F1A1}" xr6:coauthVersionLast="47" xr6:coauthVersionMax="47" xr10:uidLastSave="{B0E4E2F5-D2EE-4801-B57A-9CD5AC1B2420}"/>
  <bookViews>
    <workbookView xWindow="-120" yWindow="-120" windowWidth="29040" windowHeight="15720" activeTab="1" xr2:uid="{EB852C2F-94E2-479D-A478-593ECA2E250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8" i="2" l="1"/>
  <c r="M9" i="2"/>
  <c r="N9" i="2" s="1"/>
  <c r="O9" i="2" s="1"/>
  <c r="P9" i="2" s="1"/>
  <c r="Q9" i="2" s="1"/>
  <c r="R9" i="2" s="1"/>
  <c r="S9" i="2" s="1"/>
  <c r="T9" i="2" s="1"/>
  <c r="M40" i="2"/>
  <c r="M63" i="2"/>
  <c r="M64" i="2" s="1"/>
  <c r="M50" i="2"/>
  <c r="M54" i="2" s="1"/>
  <c r="N1" i="2"/>
  <c r="O1" i="2" s="1"/>
  <c r="P1" i="2" s="1"/>
  <c r="Q1" i="2" s="1"/>
  <c r="R1" i="2" s="1"/>
  <c r="S1" i="2" s="1"/>
  <c r="T1" i="2" s="1"/>
  <c r="U1" i="2" s="1"/>
  <c r="V1" i="2" s="1"/>
  <c r="W1" i="2" s="1"/>
  <c r="X1" i="2" s="1"/>
  <c r="Y1" i="2" s="1"/>
  <c r="Z1" i="2" s="1"/>
  <c r="AA1" i="2" s="1"/>
  <c r="AB1" i="2" s="1"/>
  <c r="AC1" i="2" s="1"/>
  <c r="AD1" i="2" s="1"/>
  <c r="AE1" i="2" s="1"/>
  <c r="W6" i="2"/>
  <c r="O15" i="2"/>
  <c r="P15" i="2" s="1"/>
  <c r="Q15" i="2" s="1"/>
  <c r="R15" i="2" s="1"/>
  <c r="S15" i="2" s="1"/>
  <c r="T15" i="2" s="1"/>
  <c r="N11" i="2"/>
  <c r="O11" i="2" s="1"/>
  <c r="P11" i="2" s="1"/>
  <c r="Q11" i="2" s="1"/>
  <c r="R11" i="2" s="1"/>
  <c r="S11" i="2" s="1"/>
  <c r="T11" i="2" s="1"/>
  <c r="N10" i="2"/>
  <c r="O10" i="2" s="1"/>
  <c r="P10" i="2" s="1"/>
  <c r="Q10" i="2" s="1"/>
  <c r="R10" i="2" s="1"/>
  <c r="S10" i="2" s="1"/>
  <c r="T10" i="2" s="1"/>
  <c r="N7" i="2"/>
  <c r="O7" i="2" s="1"/>
  <c r="P7" i="2" s="1"/>
  <c r="Q7" i="2" s="1"/>
  <c r="R7" i="2" s="1"/>
  <c r="S7" i="2" s="1"/>
  <c r="T7" i="2" s="1"/>
  <c r="N5" i="2"/>
  <c r="O5" i="2" s="1"/>
  <c r="P5" i="2" s="1"/>
  <c r="Q5" i="2" s="1"/>
  <c r="R5" i="2" s="1"/>
  <c r="S5" i="2" s="1"/>
  <c r="T5" i="2" s="1"/>
  <c r="N4" i="2"/>
  <c r="O4" i="2" s="1"/>
  <c r="Q4" i="2" s="1"/>
  <c r="R4" i="2" s="1"/>
  <c r="S4" i="2" s="1"/>
  <c r="T4" i="2" s="1"/>
  <c r="O3" i="2"/>
  <c r="P3" i="2" s="1"/>
  <c r="Q3" i="2" s="1"/>
  <c r="R3" i="2" s="1"/>
  <c r="S3" i="2" s="1"/>
  <c r="T3" i="2" s="1"/>
  <c r="N3" i="2"/>
  <c r="E33" i="2"/>
  <c r="E30" i="2"/>
  <c r="E29" i="2"/>
  <c r="E19" i="2"/>
  <c r="E18" i="2"/>
  <c r="E16" i="2"/>
  <c r="E15" i="2"/>
  <c r="E11" i="2"/>
  <c r="E10" i="2"/>
  <c r="E9" i="2"/>
  <c r="E7" i="2"/>
  <c r="E5" i="2"/>
  <c r="E4" i="2"/>
  <c r="E3" i="2"/>
  <c r="I33" i="2"/>
  <c r="I30" i="2"/>
  <c r="I29" i="2"/>
  <c r="I31" i="2" s="1"/>
  <c r="I34" i="2" s="1"/>
  <c r="I19" i="2"/>
  <c r="I18" i="2"/>
  <c r="I16" i="2"/>
  <c r="I15" i="2"/>
  <c r="I11" i="2"/>
  <c r="I10" i="2"/>
  <c r="I7" i="2"/>
  <c r="I5" i="2"/>
  <c r="I4" i="2"/>
  <c r="I3" i="2"/>
  <c r="B6" i="2"/>
  <c r="B8" i="2" s="1"/>
  <c r="C6" i="2"/>
  <c r="C8" i="2" s="1"/>
  <c r="D6" i="2"/>
  <c r="D8" i="2" s="1"/>
  <c r="F6" i="2"/>
  <c r="F8" i="2" s="1"/>
  <c r="F13" i="2" s="1"/>
  <c r="G6" i="2"/>
  <c r="G8" i="2" s="1"/>
  <c r="B12" i="2"/>
  <c r="C12" i="2"/>
  <c r="D12" i="2"/>
  <c r="F12" i="2"/>
  <c r="G12" i="2"/>
  <c r="B14" i="2"/>
  <c r="C14" i="2"/>
  <c r="D14" i="2"/>
  <c r="F14" i="2"/>
  <c r="G14" i="2"/>
  <c r="H31" i="2"/>
  <c r="H34" i="2" s="1"/>
  <c r="G31" i="2"/>
  <c r="G34" i="2" s="1"/>
  <c r="F31" i="2"/>
  <c r="F34" i="2" s="1"/>
  <c r="D31" i="2"/>
  <c r="D34" i="2" s="1"/>
  <c r="C31" i="2"/>
  <c r="C34" i="2" s="1"/>
  <c r="B31" i="2"/>
  <c r="B34" i="2" s="1"/>
  <c r="H14" i="2"/>
  <c r="H12" i="2"/>
  <c r="H6" i="2"/>
  <c r="H8" i="2" s="1"/>
  <c r="H25" i="2" s="1"/>
  <c r="M6" i="2"/>
  <c r="M8" i="2" s="1"/>
  <c r="M25" i="2" s="1"/>
  <c r="L6" i="2"/>
  <c r="L8" i="2" s="1"/>
  <c r="L25" i="2" s="1"/>
  <c r="K6" i="2"/>
  <c r="K37" i="2" s="1"/>
  <c r="M31" i="2"/>
  <c r="M34" i="2" s="1"/>
  <c r="L31" i="2"/>
  <c r="L34" i="2" s="1"/>
  <c r="K31" i="2"/>
  <c r="K34" i="2" s="1"/>
  <c r="M14" i="2"/>
  <c r="N14" i="2" s="1"/>
  <c r="O14" i="2" s="1"/>
  <c r="P14" i="2" s="1"/>
  <c r="Q14" i="2" s="1"/>
  <c r="R14" i="2" s="1"/>
  <c r="S14" i="2" s="1"/>
  <c r="T14" i="2" s="1"/>
  <c r="L14" i="2"/>
  <c r="N2" i="2"/>
  <c r="O2" i="2" s="1"/>
  <c r="P2" i="2" s="1"/>
  <c r="Q2" i="2" s="1"/>
  <c r="R2" i="2" s="1"/>
  <c r="S2" i="2" s="1"/>
  <c r="T2" i="2" s="1"/>
  <c r="L12" i="2"/>
  <c r="K14" i="2"/>
  <c r="K12" i="2"/>
  <c r="B5" i="1"/>
  <c r="B2" i="1" a="1"/>
  <c r="B2" i="1" s="1"/>
  <c r="B4" i="1" s="1"/>
  <c r="B7" i="1" s="1"/>
  <c r="I9" i="2" l="1"/>
  <c r="I12" i="2" s="1"/>
  <c r="I13" i="2" s="1"/>
  <c r="M12" i="2"/>
  <c r="F17" i="2"/>
  <c r="F20" i="2" s="1"/>
  <c r="E14" i="2"/>
  <c r="I6" i="2"/>
  <c r="I8" i="2" s="1"/>
  <c r="I25" i="2" s="1"/>
  <c r="M66" i="2"/>
  <c r="I14" i="2"/>
  <c r="D25" i="2"/>
  <c r="D13" i="2"/>
  <c r="D17" i="2" s="1"/>
  <c r="D20" i="2" s="1"/>
  <c r="M37" i="2"/>
  <c r="E6" i="2"/>
  <c r="E12" i="2"/>
  <c r="E31" i="2"/>
  <c r="E34" i="2" s="1"/>
  <c r="O12" i="2"/>
  <c r="N12" i="2"/>
  <c r="N6" i="2"/>
  <c r="O6" i="2"/>
  <c r="P6" i="2"/>
  <c r="Q6" i="2"/>
  <c r="R6" i="2"/>
  <c r="E8" i="2"/>
  <c r="B25" i="2"/>
  <c r="B13" i="2"/>
  <c r="B17" i="2" s="1"/>
  <c r="B20" i="2" s="1"/>
  <c r="L37" i="2"/>
  <c r="G13" i="2"/>
  <c r="G17" i="2" s="1"/>
  <c r="G20" i="2" s="1"/>
  <c r="C13" i="2"/>
  <c r="C17" i="2" s="1"/>
  <c r="C20" i="2" s="1"/>
  <c r="C27" i="2" s="1"/>
  <c r="G25" i="2"/>
  <c r="C25" i="2"/>
  <c r="F25" i="2"/>
  <c r="F24" i="2"/>
  <c r="G24" i="2"/>
  <c r="H24" i="2"/>
  <c r="H13" i="2"/>
  <c r="M24" i="2"/>
  <c r="L24" i="2"/>
  <c r="K8" i="2"/>
  <c r="K25" i="2" s="1"/>
  <c r="M13" i="2"/>
  <c r="L13" i="2"/>
  <c r="M38" i="2" l="1"/>
  <c r="E13" i="2"/>
  <c r="E17" i="2" s="1"/>
  <c r="E20" i="2" s="1"/>
  <c r="L38" i="2"/>
  <c r="I24" i="2"/>
  <c r="O8" i="2"/>
  <c r="O25" i="2" s="1"/>
  <c r="O24" i="2"/>
  <c r="I17" i="2"/>
  <c r="I20" i="2" s="1"/>
  <c r="I27" i="2" s="1"/>
  <c r="I26" i="2"/>
  <c r="N8" i="2"/>
  <c r="N25" i="2" s="1"/>
  <c r="N24" i="2"/>
  <c r="Q8" i="2"/>
  <c r="Q25" i="2" s="1"/>
  <c r="Q24" i="2"/>
  <c r="R8" i="2"/>
  <c r="R25" i="2" s="1"/>
  <c r="R24" i="2"/>
  <c r="P8" i="2"/>
  <c r="P25" i="2" s="1"/>
  <c r="P24" i="2"/>
  <c r="N13" i="2"/>
  <c r="P12" i="2"/>
  <c r="T6" i="2"/>
  <c r="S6" i="2"/>
  <c r="E25" i="2"/>
  <c r="E27" i="2"/>
  <c r="E26" i="2"/>
  <c r="B27" i="2"/>
  <c r="B26" i="2"/>
  <c r="F27" i="2"/>
  <c r="F26" i="2"/>
  <c r="C26" i="2"/>
  <c r="G27" i="2"/>
  <c r="G26" i="2"/>
  <c r="D27" i="2"/>
  <c r="D26" i="2"/>
  <c r="H17" i="2"/>
  <c r="H20" i="2" s="1"/>
  <c r="H27" i="2" s="1"/>
  <c r="H26" i="2"/>
  <c r="K13" i="2"/>
  <c r="L17" i="2"/>
  <c r="L20" i="2" s="1"/>
  <c r="L27" i="2" s="1"/>
  <c r="L26" i="2"/>
  <c r="M17" i="2"/>
  <c r="M20" i="2" s="1"/>
  <c r="M26" i="2"/>
  <c r="O13" i="2" l="1"/>
  <c r="O17" i="2" s="1"/>
  <c r="M27" i="2"/>
  <c r="N17" i="2"/>
  <c r="N26" i="2"/>
  <c r="P13" i="2"/>
  <c r="P26" i="2" s="1"/>
  <c r="T8" i="2"/>
  <c r="T25" i="2" s="1"/>
  <c r="T24" i="2"/>
  <c r="S8" i="2"/>
  <c r="S25" i="2" s="1"/>
  <c r="S24" i="2"/>
  <c r="Q12" i="2"/>
  <c r="Q13" i="2" s="1"/>
  <c r="K17" i="2"/>
  <c r="K20" i="2" s="1"/>
  <c r="K27" i="2" s="1"/>
  <c r="K26" i="2"/>
  <c r="O26" i="2" l="1"/>
  <c r="P17" i="2"/>
  <c r="P18" i="2" s="1"/>
  <c r="P20" i="2" s="1"/>
  <c r="P27" i="2" s="1"/>
  <c r="N18" i="2"/>
  <c r="N20" i="2" s="1"/>
  <c r="O18" i="2"/>
  <c r="O20" i="2" s="1"/>
  <c r="O27" i="2" s="1"/>
  <c r="Q17" i="2"/>
  <c r="Q26" i="2"/>
  <c r="R12" i="2"/>
  <c r="R13" i="2" s="1"/>
  <c r="N27" i="2" l="1"/>
  <c r="R17" i="2"/>
  <c r="R26" i="2"/>
  <c r="Q18" i="2"/>
  <c r="Q20" i="2" s="1"/>
  <c r="Q27" i="2" s="1"/>
  <c r="T12" i="2"/>
  <c r="T13" i="2" s="1"/>
  <c r="S12" i="2"/>
  <c r="S13" i="2" s="1"/>
  <c r="S17" i="2" l="1"/>
  <c r="S26" i="2"/>
  <c r="T17" i="2"/>
  <c r="T26" i="2"/>
  <c r="R18" i="2"/>
  <c r="R20" i="2" s="1"/>
  <c r="R27" i="2" s="1"/>
  <c r="T18" i="2" l="1"/>
  <c r="T20" i="2" s="1"/>
  <c r="S18" i="2"/>
  <c r="S20" i="2" s="1"/>
  <c r="S27" i="2" s="1"/>
  <c r="T27" i="2" l="1"/>
  <c r="U20" i="2"/>
  <c r="V20" i="2" s="1"/>
  <c r="W20" i="2" s="1"/>
  <c r="X20" i="2" s="1"/>
  <c r="Y20" i="2" s="1"/>
  <c r="Z20" i="2" s="1"/>
  <c r="AA20" i="2" s="1"/>
  <c r="AB20" i="2" s="1"/>
  <c r="AC20" i="2" s="1"/>
  <c r="AD20" i="2" s="1"/>
  <c r="AE20" i="2" s="1"/>
  <c r="AF20" i="2" s="1"/>
  <c r="AG20" i="2" s="1"/>
  <c r="AH20" i="2" s="1"/>
  <c r="AI20" i="2" s="1"/>
  <c r="AJ20" i="2" s="1"/>
  <c r="AK20" i="2" s="1"/>
  <c r="AL20" i="2" s="1"/>
  <c r="AM20" i="2" s="1"/>
  <c r="AN20" i="2" s="1"/>
  <c r="AO20" i="2" s="1"/>
  <c r="AP20" i="2" s="1"/>
  <c r="AQ20" i="2" s="1"/>
  <c r="AR20" i="2" s="1"/>
  <c r="AS20" i="2" s="1"/>
  <c r="AT20" i="2" s="1"/>
  <c r="AU20" i="2" s="1"/>
  <c r="AV20" i="2" s="1"/>
  <c r="AW20" i="2" s="1"/>
  <c r="AX20" i="2" s="1"/>
  <c r="AY20" i="2" s="1"/>
  <c r="AZ20" i="2" s="1"/>
  <c r="BA20" i="2" s="1"/>
  <c r="BB20" i="2" s="1"/>
  <c r="BC20" i="2" s="1"/>
  <c r="BD20" i="2" s="1"/>
  <c r="BE20" i="2" s="1"/>
  <c r="BF20" i="2" s="1"/>
  <c r="BG20" i="2" s="1"/>
  <c r="BH20" i="2" s="1"/>
  <c r="BI20" i="2" s="1"/>
  <c r="BJ20" i="2" s="1"/>
  <c r="BK20" i="2" s="1"/>
  <c r="BL20" i="2" s="1"/>
  <c r="BM20" i="2" s="1"/>
  <c r="BN20" i="2" s="1"/>
  <c r="BO20" i="2" s="1"/>
  <c r="BP20" i="2" s="1"/>
  <c r="BQ20" i="2" s="1"/>
  <c r="BR20" i="2" s="1"/>
  <c r="BS20" i="2" s="1"/>
  <c r="BT20" i="2" s="1"/>
  <c r="BU20" i="2" s="1"/>
  <c r="BV20" i="2" s="1"/>
  <c r="BW20" i="2" s="1"/>
  <c r="BX20" i="2" s="1"/>
  <c r="BY20" i="2" s="1"/>
  <c r="BZ20" i="2" s="1"/>
  <c r="CA20" i="2" s="1"/>
  <c r="CB20" i="2" s="1"/>
  <c r="CC20" i="2" s="1"/>
  <c r="CD20" i="2" s="1"/>
  <c r="CE20" i="2" s="1"/>
  <c r="CF20" i="2" s="1"/>
  <c r="CG20" i="2" s="1"/>
  <c r="CH20" i="2" s="1"/>
  <c r="CI20" i="2" s="1"/>
  <c r="CJ20" i="2" s="1"/>
  <c r="CK20" i="2" s="1"/>
  <c r="CL20" i="2" s="1"/>
  <c r="CM20" i="2" s="1"/>
  <c r="CN20" i="2" s="1"/>
  <c r="CO20" i="2" s="1"/>
  <c r="CP20" i="2" s="1"/>
  <c r="CQ20" i="2" s="1"/>
  <c r="CR20" i="2" s="1"/>
  <c r="CS20" i="2" s="1"/>
  <c r="CT20" i="2" s="1"/>
  <c r="CU20" i="2" s="1"/>
  <c r="CV20" i="2" s="1"/>
  <c r="W5" i="2" l="1"/>
  <c r="W7" i="2" s="1"/>
  <c r="W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<sst xmlns="http://schemas.openxmlformats.org/spreadsheetml/2006/main" count="79" uniqueCount="75">
  <si>
    <t>ticket</t>
  </si>
  <si>
    <t>price</t>
  </si>
  <si>
    <t>shares</t>
  </si>
  <si>
    <t>mc</t>
  </si>
  <si>
    <t>cash</t>
  </si>
  <si>
    <t>debt</t>
  </si>
  <si>
    <t>ev</t>
  </si>
  <si>
    <t>Cost of Revenue</t>
  </si>
  <si>
    <t>Gross Profit</t>
  </si>
  <si>
    <t>S&amp;M</t>
  </si>
  <si>
    <t>R&amp;D</t>
  </si>
  <si>
    <t>G&amp;A</t>
  </si>
  <si>
    <t>Total Opex</t>
  </si>
  <si>
    <t>Operating Income</t>
  </si>
  <si>
    <t>Net interest</t>
  </si>
  <si>
    <t>Pretax Income</t>
  </si>
  <si>
    <t>Taxes</t>
  </si>
  <si>
    <t>Equity losses</t>
  </si>
  <si>
    <t>Net Income</t>
  </si>
  <si>
    <t>Other gains</t>
  </si>
  <si>
    <t>Gain from remeasurement of warrant liabilities</t>
  </si>
  <si>
    <t>Shares</t>
  </si>
  <si>
    <t>EPS</t>
  </si>
  <si>
    <t>Revenue Y/Y</t>
  </si>
  <si>
    <t>Operating Margin</t>
  </si>
  <si>
    <t>Net Margin</t>
  </si>
  <si>
    <t>Gross Margin</t>
  </si>
  <si>
    <t>CFFO</t>
  </si>
  <si>
    <t>CAPEX</t>
  </si>
  <si>
    <t>FCF</t>
  </si>
  <si>
    <t>SBC</t>
  </si>
  <si>
    <t>FCF-SBC</t>
  </si>
  <si>
    <t>online sports betting (“Sportsbook”), online casino (“iGaming”) and daily fantasy sports (“DFS”) product offerings, as well as retail sportsbook, media and other consumer product offerings</t>
  </si>
  <si>
    <t>Online Gaming</t>
  </si>
  <si>
    <t>Gaming Software</t>
  </si>
  <si>
    <t>Other</t>
  </si>
  <si>
    <t>Total Revenue</t>
  </si>
  <si>
    <t>Average Monthly Unique Payers (Millions)</t>
  </si>
  <si>
    <t>Revenue per monthly payer</t>
  </si>
  <si>
    <t>Revenue per monthly payer Y/Y</t>
  </si>
  <si>
    <t>Q1 2022</t>
  </si>
  <si>
    <t>Q2 2022</t>
  </si>
  <si>
    <t>Q3 2022</t>
  </si>
  <si>
    <t>Q4 2022</t>
  </si>
  <si>
    <t>Q1 2023</t>
  </si>
  <si>
    <t xml:space="preserve">Q2 2023 </t>
  </si>
  <si>
    <t>Q3 2023</t>
  </si>
  <si>
    <t>Q4 2023</t>
  </si>
  <si>
    <t>Discount</t>
  </si>
  <si>
    <t>maturity</t>
  </si>
  <si>
    <t>npv</t>
  </si>
  <si>
    <t>net cash</t>
  </si>
  <si>
    <t>balance sheet</t>
  </si>
  <si>
    <t>restricted cash</t>
  </si>
  <si>
    <t>cash for users</t>
  </si>
  <si>
    <t>A/R</t>
  </si>
  <si>
    <t>Receivables reserved for users</t>
  </si>
  <si>
    <t>PP&amp;E</t>
  </si>
  <si>
    <t>Prepaid expenses</t>
  </si>
  <si>
    <t>Goodwill + Intangibles</t>
  </si>
  <si>
    <t>Operating lease</t>
  </si>
  <si>
    <t>Equity investments</t>
  </si>
  <si>
    <t>Deposits and other non-current</t>
  </si>
  <si>
    <t>Total Assets</t>
  </si>
  <si>
    <t>A/P</t>
  </si>
  <si>
    <t>liabilities to users</t>
  </si>
  <si>
    <t>Operating lease liabilities</t>
  </si>
  <si>
    <t>Other current liabilities</t>
  </si>
  <si>
    <t>Debt</t>
  </si>
  <si>
    <t>Non-current lease liabilities</t>
  </si>
  <si>
    <t>Warrant liabilities</t>
  </si>
  <si>
    <t>income taxes</t>
  </si>
  <si>
    <t>Total Liabilities</t>
  </si>
  <si>
    <t>S/E</t>
  </si>
  <si>
    <t>Buffet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</si>
</sst>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164" formatCode="_([$$-409]* #,##0.00_);_([$$-409]* \(#,##0.00\);_([$$-409]* &quot;-&quot;??_);_(@_)"/>
    <numFmt numFmtId="165" formatCode="_-[$$-409]* #,##0.00_ ;_-[$$-409]* \-#,##0.00\ ;_-[$$-409]* &quot;-&quot;??_ ;_-@_ "/>
  </numFmts>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165" fontId="0" fillId="0" borderId="0" xfId="0" applyNumberFormat="1"/>
    <xf numFmtId="0" fontId="1" fillId="0" borderId="0" xfId="0" applyFont="1"/>
    <xf numFmtId="9" fontId="0" fillId="0" borderId="0" xfId="0" applyNumberFormat="1"/>
    <xf numFmtId="3" fontId="0" fillId="0" borderId="0" xfId="0" applyNumberFormat="1"/>
    <xf numFmtId="3" fontId="1" fillId="0" borderId="0" xfId="0" applyNumberFormat="1" applyFon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13</xdr:col>
      <xdr:colOff>0</xdr:colOff>
      <xdr:row>0</xdr:row>
      <xdr:rowOff>161925</xdr:rowOff>
    </xdr:from>
    <xdr:to>
      <xdr:col>13</xdr:col>
      <xdr:colOff>28575</xdr:colOff>
      <xdr:row>34</xdr:row>
      <xdr:rowOff>66675</xdr:rowOff>
    </xdr:to>
    <xdr:cxnSp macro="">
      <xdr:nvCxnSpPr>
        <xdr:cNvPr id="3" name="Straight Connector 2">
          <a:extLst>
            <a:ext uri="{FF2B5EF4-FFF2-40B4-BE49-F238E27FC236}">
              <a16:creationId xmlns:a16="http://schemas.microsoft.com/office/drawing/2014/main" id="{0810698D-41C7-C05C-6C1A-D1E3F4135A01}"/>
            </a:ext>
          </a:extLst>
        </xdr:cNvPr>
        <xdr:cNvCxnSpPr/>
      </xdr:nvCxnSpPr>
      <xdr:spPr>
        <a:xfrm>
          <a:off x="10210800" y="161925"/>
          <a:ext cx="28575" cy="638175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https://www.bing.com/financeapi/forcetrigger?t=bqrtfr&amp;q=XNAS%3aDKNG&amp;form=skydnc</v>
    <v>Learn more on Bing</v>
  </rv>
  <rv s="1">
    <v>en-GB</v>
    <v>bqrtfr</v>
    <v>268435456</v>
    <v>1</v>
    <v>Powered by Refinitiv</v>
    <v>0</v>
    <v>DRAFTKINGS INC. (XNAS:DKNG)</v>
    <v>2</v>
    <v>3</v>
    <v>Finance</v>
    <v>4</v>
    <v>45.62</v>
    <v>17.02</v>
    <v>1.8435999999999999</v>
    <v>0.21</v>
    <v>5.1419999999999999E-3</v>
    <v>USD</v>
    <v>DraftKings Inc. is a digital sports entertainment and gaming company. The Company provides users with online sports betting (Sportsbook), online casino (iGaming) and daily fantasy sports (DFS) product offerings, as well as retail sportsbook, media and other consumer product offerings. Sportsbook is live with mobile and/or retail sports betting operations pursuant to regulations in 24 states and in Ontario, Canada. Its iGaming product offerings typically include the full suite of games available in land-based casinos, such as blackjack, roulette, baccarat and slot machines. DFS product offering facilitates peer-to-peer play, whereby contestants compete against each other for prize money. The Company also offers non-fungible tokens (NFTs) on DraftKings Marketplace (Marketplace), NFT-based DFS-style contests, gaming software services, and advertising and sponsorship packages to targeted advertisers across its DFS product offering, free games, and media content.</v>
    <v>4400</v>
    <v>Nasdaq Stock Market</v>
    <v>XNAS</v>
    <v>XNAS</v>
    <v>222 Berkeley Street, 5th Floor, BOSTON, MA, 02116 US</v>
    <v>42.6</v>
    <v>Hotels &amp; Entertainment Services</v>
    <v>Stock</v>
    <v>45345.85854114531</v>
    <v>0</v>
    <v>41.05</v>
    <v>19442080475</v>
    <v>DRAFTKINGS INC.</v>
    <v>DRAFTKINGS INC.</v>
    <v>41.94</v>
    <v>40.840000000000003</v>
    <v>41.05</v>
    <v>473619500</v>
    <v>DKNG</v>
    <v>DRAFTKINGS INC. (XNAS:DKNG)</v>
    <v>12465137</v>
    <v>14559375</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657A4-8C97-432B-880C-B6F9470CD808}">
  <dimension ref="A1:B9"/>
  <sheetViews>
    <sheetView workbookViewId="0">
      <selection activeCell="A9" sqref="A9"/>
    </sheetView>
  </sheetViews>
  <sheetFormatPr defaultRowHeight="15" x14ac:dyDescent="0.25"/>
  <cols>
    <col min="2" max="2" width="11.140625" bestFit="1" customWidth="1"/>
  </cols>
  <sheetData>
    <row r="1" spans="1:2" x14ac:dyDescent="0.25">
      <c r="A1" t="s">
        <v>0</v>
      </c>
      <c r="B1" t="e" vm="1">
        <v>#VALUE!</v>
      </c>
    </row>
    <row r="2" spans="1:2" x14ac:dyDescent="0.25">
      <c r="A2" t="s">
        <v>1</v>
      </c>
      <c r="B2" s="1" cm="1">
        <f t="array" ref="B2">_FV(B1,"Price")</f>
        <v>41.05</v>
      </c>
    </row>
    <row r="3" spans="1:2" x14ac:dyDescent="0.25">
      <c r="A3" t="s">
        <v>2</v>
      </c>
      <c r="B3">
        <v>473.619528</v>
      </c>
    </row>
    <row r="4" spans="1:2" x14ac:dyDescent="0.25">
      <c r="A4" t="s">
        <v>3</v>
      </c>
      <c r="B4" s="2">
        <f>B2*B3</f>
        <v>19442.081624399998</v>
      </c>
    </row>
    <row r="5" spans="1:2" x14ac:dyDescent="0.25">
      <c r="A5" t="s">
        <v>4</v>
      </c>
      <c r="B5">
        <f>1270.503+11.7+10.28</f>
        <v>1292.4829999999999</v>
      </c>
    </row>
    <row r="6" spans="1:2" x14ac:dyDescent="0.25">
      <c r="A6" t="s">
        <v>5</v>
      </c>
      <c r="B6">
        <v>1253.76</v>
      </c>
    </row>
    <row r="7" spans="1:2" x14ac:dyDescent="0.25">
      <c r="A7" t="s">
        <v>6</v>
      </c>
      <c r="B7" s="2">
        <f>B4-B5+B6</f>
        <v>19403.358624399996</v>
      </c>
    </row>
    <row r="9" spans="1:2" x14ac:dyDescent="0.25">
      <c r="A9"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66287-8D3B-4AB5-AC4E-697A6C75E3D7}">
  <dimension ref="A1:CV68"/>
  <sheetViews>
    <sheetView tabSelected="1" zoomScale="80" zoomScaleNormal="80" workbookViewId="0">
      <pane xSplit="1" ySplit="2" topLeftCell="B18" activePane="bottomRight" state="frozen"/>
      <selection pane="topRight" activeCell="B1" sqref="B1"/>
      <selection pane="bottomLeft" activeCell="A3" sqref="A3"/>
      <selection pane="bottomRight" activeCell="M68" sqref="M68"/>
    </sheetView>
  </sheetViews>
  <sheetFormatPr defaultRowHeight="15" x14ac:dyDescent="0.25"/>
  <cols>
    <col min="1" max="1" width="43.42578125" bestFit="1" customWidth="1"/>
    <col min="23" max="23" width="11.42578125" bestFit="1" customWidth="1"/>
  </cols>
  <sheetData>
    <row r="1" spans="1:31" x14ac:dyDescent="0.25">
      <c r="M1">
        <v>0</v>
      </c>
      <c r="N1">
        <f>M1+1</f>
        <v>1</v>
      </c>
      <c r="O1">
        <f t="shared" ref="O1:AE1" si="0">N1+1</f>
        <v>2</v>
      </c>
      <c r="P1">
        <f t="shared" si="0"/>
        <v>3</v>
      </c>
      <c r="Q1">
        <f t="shared" si="0"/>
        <v>4</v>
      </c>
      <c r="R1">
        <f t="shared" si="0"/>
        <v>5</v>
      </c>
      <c r="S1">
        <f t="shared" si="0"/>
        <v>6</v>
      </c>
      <c r="T1">
        <f t="shared" si="0"/>
        <v>7</v>
      </c>
      <c r="U1">
        <f t="shared" si="0"/>
        <v>8</v>
      </c>
      <c r="V1">
        <f t="shared" si="0"/>
        <v>9</v>
      </c>
      <c r="W1">
        <f t="shared" si="0"/>
        <v>10</v>
      </c>
      <c r="X1">
        <f t="shared" si="0"/>
        <v>11</v>
      </c>
      <c r="Y1">
        <f t="shared" si="0"/>
        <v>12</v>
      </c>
      <c r="Z1">
        <f t="shared" si="0"/>
        <v>13</v>
      </c>
      <c r="AA1">
        <f t="shared" si="0"/>
        <v>14</v>
      </c>
      <c r="AB1">
        <f t="shared" si="0"/>
        <v>15</v>
      </c>
      <c r="AC1">
        <f t="shared" si="0"/>
        <v>16</v>
      </c>
      <c r="AD1">
        <f t="shared" si="0"/>
        <v>17</v>
      </c>
      <c r="AE1">
        <f t="shared" si="0"/>
        <v>18</v>
      </c>
    </row>
    <row r="2" spans="1:31" x14ac:dyDescent="0.25">
      <c r="B2" s="3" t="s">
        <v>40</v>
      </c>
      <c r="C2" s="3" t="s">
        <v>41</v>
      </c>
      <c r="D2" s="3" t="s">
        <v>42</v>
      </c>
      <c r="E2" s="3" t="s">
        <v>43</v>
      </c>
      <c r="F2" s="3" t="s">
        <v>44</v>
      </c>
      <c r="G2" s="3" t="s">
        <v>45</v>
      </c>
      <c r="H2" s="3" t="s">
        <v>46</v>
      </c>
      <c r="I2" s="3" t="s">
        <v>47</v>
      </c>
      <c r="K2" s="3">
        <v>2021</v>
      </c>
      <c r="L2" s="3">
        <v>2022</v>
      </c>
      <c r="M2" s="3">
        <v>2023</v>
      </c>
      <c r="N2" s="3">
        <f>M2+1</f>
        <v>2024</v>
      </c>
      <c r="O2" s="3">
        <f t="shared" ref="O2:T2" si="1">N2+1</f>
        <v>2025</v>
      </c>
      <c r="P2" s="3">
        <f t="shared" si="1"/>
        <v>2026</v>
      </c>
      <c r="Q2" s="3">
        <f t="shared" si="1"/>
        <v>2027</v>
      </c>
      <c r="R2" s="3">
        <f t="shared" si="1"/>
        <v>2028</v>
      </c>
      <c r="S2" s="3">
        <f t="shared" si="1"/>
        <v>2029</v>
      </c>
      <c r="T2" s="3">
        <f t="shared" si="1"/>
        <v>2030</v>
      </c>
    </row>
    <row r="3" spans="1:31" x14ac:dyDescent="0.25">
      <c r="A3" t="s">
        <v>33</v>
      </c>
      <c r="B3" s="5">
        <v>386.678</v>
      </c>
      <c r="C3" s="5">
        <v>434.12299999999999</v>
      </c>
      <c r="D3" s="5">
        <v>468.45499999999998</v>
      </c>
      <c r="E3" s="5">
        <f>L3-SUM(B3:D3)</f>
        <v>817.45200000000023</v>
      </c>
      <c r="F3" s="5">
        <v>735.18899999999996</v>
      </c>
      <c r="G3" s="5">
        <v>849.83900000000006</v>
      </c>
      <c r="H3" s="5">
        <v>768.26499999999999</v>
      </c>
      <c r="I3" s="5">
        <f>M3-SUM(F3:H3)</f>
        <v>1203.8979999999997</v>
      </c>
      <c r="J3" s="5"/>
      <c r="K3" s="5">
        <v>1145.539</v>
      </c>
      <c r="L3" s="5">
        <v>2106.7080000000001</v>
      </c>
      <c r="M3" s="5">
        <v>3557.1909999999998</v>
      </c>
      <c r="N3" s="5">
        <f>M3*1.7</f>
        <v>6047.2246999999998</v>
      </c>
      <c r="O3" s="5">
        <f>N3*1.5</f>
        <v>9070.8370500000001</v>
      </c>
      <c r="P3" s="5">
        <f>O3*1.35</f>
        <v>12245.630017500001</v>
      </c>
      <c r="Q3" s="5">
        <f>P3*1.35</f>
        <v>16531.600523625002</v>
      </c>
      <c r="R3" s="5">
        <f t="shared" ref="R3" si="2">Q3*1.3</f>
        <v>21491.080680712505</v>
      </c>
      <c r="S3" s="5">
        <f>R3*1.1</f>
        <v>23640.188748783756</v>
      </c>
      <c r="T3" s="5">
        <f>S3*1.1</f>
        <v>26004.207623662132</v>
      </c>
      <c r="V3" t="s">
        <v>48</v>
      </c>
      <c r="W3" s="4">
        <v>0.1</v>
      </c>
    </row>
    <row r="4" spans="1:31" x14ac:dyDescent="0.25">
      <c r="A4" t="s">
        <v>34</v>
      </c>
      <c r="B4" s="5">
        <v>13.494999999999999</v>
      </c>
      <c r="C4" s="5">
        <v>11.47</v>
      </c>
      <c r="D4" s="5">
        <v>9.093</v>
      </c>
      <c r="E4" s="5">
        <f t="shared" ref="E4:E5" si="3">L4-SUM(B4:D4)</f>
        <v>8.9420000000000002</v>
      </c>
      <c r="F4" s="5">
        <v>8.61</v>
      </c>
      <c r="G4" s="5">
        <v>8.5809999999999995</v>
      </c>
      <c r="H4" s="5">
        <v>6.3040000000000003</v>
      </c>
      <c r="I4" s="5">
        <f t="shared" ref="I4:I5" si="4">M4-SUM(F4:H4)</f>
        <v>6.485000000000003</v>
      </c>
      <c r="J4" s="5"/>
      <c r="K4" s="5">
        <v>97.415000000000006</v>
      </c>
      <c r="L4" s="5">
        <v>43</v>
      </c>
      <c r="M4" s="5">
        <v>29.98</v>
      </c>
      <c r="N4" s="5">
        <f>M4*0.85</f>
        <v>25.483000000000001</v>
      </c>
      <c r="O4" s="5">
        <f t="shared" ref="O4:T4" si="5">N4*0.85</f>
        <v>21.660550000000001</v>
      </c>
      <c r="P4" s="5">
        <v>0</v>
      </c>
      <c r="Q4" s="5">
        <f t="shared" si="5"/>
        <v>0</v>
      </c>
      <c r="R4" s="5">
        <f t="shared" si="5"/>
        <v>0</v>
      </c>
      <c r="S4" s="5">
        <f t="shared" si="5"/>
        <v>0</v>
      </c>
      <c r="T4" s="5">
        <f t="shared" si="5"/>
        <v>0</v>
      </c>
      <c r="V4" t="s">
        <v>49</v>
      </c>
      <c r="W4" s="4">
        <v>-0.01</v>
      </c>
    </row>
    <row r="5" spans="1:31" x14ac:dyDescent="0.25">
      <c r="A5" t="s">
        <v>35</v>
      </c>
      <c r="B5" s="5">
        <v>17.032</v>
      </c>
      <c r="C5" s="5">
        <v>20.591999999999999</v>
      </c>
      <c r="D5" s="5">
        <v>24.39</v>
      </c>
      <c r="E5" s="5">
        <f t="shared" si="3"/>
        <v>28.739000000000004</v>
      </c>
      <c r="F5" s="5">
        <v>25.853000000000002</v>
      </c>
      <c r="G5" s="5">
        <v>16.507000000000001</v>
      </c>
      <c r="H5" s="5">
        <v>15.388</v>
      </c>
      <c r="I5" s="5">
        <f t="shared" si="4"/>
        <v>20.473999999999997</v>
      </c>
      <c r="J5" s="5"/>
      <c r="K5" s="5">
        <v>53.01</v>
      </c>
      <c r="L5" s="5">
        <v>90.753</v>
      </c>
      <c r="M5" s="5">
        <v>78.221999999999994</v>
      </c>
      <c r="N5" s="5">
        <f>M5*0.9</f>
        <v>70.399799999999999</v>
      </c>
      <c r="O5" s="5">
        <f t="shared" ref="O5:T5" si="6">N5*0.9</f>
        <v>63.359819999999999</v>
      </c>
      <c r="P5" s="5">
        <f t="shared" si="6"/>
        <v>57.023837999999998</v>
      </c>
      <c r="Q5" s="5">
        <f t="shared" si="6"/>
        <v>51.321454199999998</v>
      </c>
      <c r="R5" s="5">
        <f t="shared" si="6"/>
        <v>46.189308779999998</v>
      </c>
      <c r="S5" s="5">
        <f t="shared" si="6"/>
        <v>41.570377901999997</v>
      </c>
      <c r="T5" s="5">
        <f t="shared" si="6"/>
        <v>37.413340111799997</v>
      </c>
      <c r="V5" t="s">
        <v>50</v>
      </c>
      <c r="W5" s="7">
        <f>NPV(W3,N20:CV20)</f>
        <v>48527.168130159909</v>
      </c>
    </row>
    <row r="6" spans="1:31" x14ac:dyDescent="0.25">
      <c r="A6" s="3" t="s">
        <v>36</v>
      </c>
      <c r="B6" s="6">
        <f t="shared" ref="B6:H6" si="7">SUM(B3:B5)</f>
        <v>417.20499999999998</v>
      </c>
      <c r="C6" s="6">
        <f t="shared" si="7"/>
        <v>466.185</v>
      </c>
      <c r="D6" s="6">
        <f t="shared" si="7"/>
        <v>501.93799999999999</v>
      </c>
      <c r="E6" s="6">
        <f t="shared" si="7"/>
        <v>855.13300000000027</v>
      </c>
      <c r="F6" s="6">
        <f t="shared" si="7"/>
        <v>769.65199999999993</v>
      </c>
      <c r="G6" s="6">
        <f t="shared" si="7"/>
        <v>874.92700000000002</v>
      </c>
      <c r="H6" s="6">
        <f t="shared" si="7"/>
        <v>789.95699999999999</v>
      </c>
      <c r="I6" s="6">
        <f t="shared" ref="I6" si="8">SUM(I3:I5)</f>
        <v>1230.8569999999995</v>
      </c>
      <c r="J6" s="6"/>
      <c r="K6" s="6">
        <f>SUM(K3:K5)</f>
        <v>1295.9639999999999</v>
      </c>
      <c r="L6" s="6">
        <f t="shared" ref="L6:M6" si="9">SUM(L3:L5)</f>
        <v>2240.4610000000002</v>
      </c>
      <c r="M6" s="6">
        <f t="shared" si="9"/>
        <v>3665.393</v>
      </c>
      <c r="N6" s="6">
        <f t="shared" ref="N6" si="10">SUM(N3:N5)</f>
        <v>6143.1075000000001</v>
      </c>
      <c r="O6" s="6">
        <f t="shared" ref="O6" si="11">SUM(O3:O5)</f>
        <v>9155.8574200000003</v>
      </c>
      <c r="P6" s="6">
        <f t="shared" ref="P6" si="12">SUM(P3:P5)</f>
        <v>12302.653855500001</v>
      </c>
      <c r="Q6" s="6">
        <f t="shared" ref="Q6" si="13">SUM(Q3:Q5)</f>
        <v>16582.921977825001</v>
      </c>
      <c r="R6" s="6">
        <f t="shared" ref="R6" si="14">SUM(R3:R5)</f>
        <v>21537.269989492506</v>
      </c>
      <c r="S6" s="6">
        <f t="shared" ref="S6" si="15">SUM(S3:S5)</f>
        <v>23681.759126685756</v>
      </c>
      <c r="T6" s="6">
        <f t="shared" ref="T6" si="16">SUM(T3:T5)</f>
        <v>26041.620963773934</v>
      </c>
      <c r="V6" t="s">
        <v>51</v>
      </c>
      <c r="W6">
        <f>Sheet1!B5-Sheet1!B6</f>
        <v>38.722999999999956</v>
      </c>
    </row>
    <row r="7" spans="1:31" x14ac:dyDescent="0.25">
      <c r="A7" t="s">
        <v>7</v>
      </c>
      <c r="B7" s="5">
        <v>313.37900000000002</v>
      </c>
      <c r="C7" s="5">
        <v>312.767</v>
      </c>
      <c r="D7" s="5">
        <v>372.69200000000001</v>
      </c>
      <c r="E7" s="5">
        <f>L7-SUM(B7:D7)</f>
        <v>485.43499999999995</v>
      </c>
      <c r="F7" s="5">
        <v>521.74</v>
      </c>
      <c r="G7" s="5">
        <v>510.32299999999998</v>
      </c>
      <c r="H7" s="5">
        <v>543.45399999999995</v>
      </c>
      <c r="I7" s="5">
        <f>M7-SUM(F7:H7)</f>
        <v>716.65800000000013</v>
      </c>
      <c r="J7" s="5"/>
      <c r="K7" s="5">
        <v>794.16200000000003</v>
      </c>
      <c r="L7" s="5">
        <v>1484.2729999999999</v>
      </c>
      <c r="M7" s="5">
        <v>2292.1750000000002</v>
      </c>
      <c r="N7" s="5">
        <f>M7*1.4</f>
        <v>3209.0450000000001</v>
      </c>
      <c r="O7" s="5">
        <f>N7*1.3</f>
        <v>4171.7584999999999</v>
      </c>
      <c r="P7" s="5">
        <f t="shared" ref="P7:T7" si="17">O7*1.3</f>
        <v>5423.2860499999997</v>
      </c>
      <c r="Q7" s="5">
        <f t="shared" si="17"/>
        <v>7050.2718649999997</v>
      </c>
      <c r="R7" s="5">
        <f t="shared" si="17"/>
        <v>9165.3534244999992</v>
      </c>
      <c r="S7" s="5">
        <f t="shared" si="17"/>
        <v>11914.95945185</v>
      </c>
      <c r="T7" s="5">
        <f t="shared" si="17"/>
        <v>15489.447287405001</v>
      </c>
      <c r="V7" t="s">
        <v>6</v>
      </c>
      <c r="W7" s="7">
        <f>W5+W6</f>
        <v>48565.891130159907</v>
      </c>
    </row>
    <row r="8" spans="1:31" x14ac:dyDescent="0.25">
      <c r="A8" s="3" t="s">
        <v>8</v>
      </c>
      <c r="B8" s="6">
        <f t="shared" ref="B8:H8" si="18">B6-B7</f>
        <v>103.82599999999996</v>
      </c>
      <c r="C8" s="6">
        <f t="shared" si="18"/>
        <v>153.41800000000001</v>
      </c>
      <c r="D8" s="6">
        <f t="shared" si="18"/>
        <v>129.24599999999998</v>
      </c>
      <c r="E8" s="6">
        <f t="shared" si="18"/>
        <v>369.69800000000032</v>
      </c>
      <c r="F8" s="6">
        <f t="shared" si="18"/>
        <v>247.91199999999992</v>
      </c>
      <c r="G8" s="6">
        <f t="shared" si="18"/>
        <v>364.60400000000004</v>
      </c>
      <c r="H8" s="6">
        <f t="shared" si="18"/>
        <v>246.50300000000004</v>
      </c>
      <c r="I8" s="6">
        <f t="shared" ref="I8" si="19">I6-I7</f>
        <v>514.19899999999939</v>
      </c>
      <c r="J8" s="6"/>
      <c r="K8" s="6">
        <f>K6-K7</f>
        <v>501.80199999999991</v>
      </c>
      <c r="L8" s="6">
        <f t="shared" ref="L8:M8" si="20">L6-L7</f>
        <v>756.18800000000033</v>
      </c>
      <c r="M8" s="6">
        <f t="shared" si="20"/>
        <v>1373.2179999999998</v>
      </c>
      <c r="N8" s="6">
        <f t="shared" ref="N8" si="21">N6-N7</f>
        <v>2934.0625</v>
      </c>
      <c r="O8" s="6">
        <f t="shared" ref="O8" si="22">O6-O7</f>
        <v>4984.0989200000004</v>
      </c>
      <c r="P8" s="6">
        <f t="shared" ref="P8" si="23">P6-P7</f>
        <v>6879.3678055000009</v>
      </c>
      <c r="Q8" s="6">
        <f t="shared" ref="Q8" si="24">Q6-Q7</f>
        <v>9532.650112825002</v>
      </c>
      <c r="R8" s="6">
        <f t="shared" ref="R8" si="25">R6-R7</f>
        <v>12371.916564992507</v>
      </c>
      <c r="S8" s="6">
        <f t="shared" ref="S8" si="26">S6-S7</f>
        <v>11766.799674835756</v>
      </c>
      <c r="T8" s="6">
        <f t="shared" ref="T8" si="27">T6-T7</f>
        <v>10552.173676368933</v>
      </c>
      <c r="V8" t="s">
        <v>1</v>
      </c>
      <c r="W8" s="7">
        <f>W7/Sheet1!B3</f>
        <v>102.54199470035346</v>
      </c>
    </row>
    <row r="9" spans="1:31" x14ac:dyDescent="0.25">
      <c r="A9" t="s">
        <v>9</v>
      </c>
      <c r="B9" s="5">
        <v>321.452</v>
      </c>
      <c r="C9" s="5">
        <v>197.529</v>
      </c>
      <c r="D9" s="5">
        <v>321.714</v>
      </c>
      <c r="E9" s="5">
        <f t="shared" ref="E9:E11" si="28">L9-SUM(B9:D9)</f>
        <v>345.28200000000015</v>
      </c>
      <c r="F9" s="5">
        <v>389.13299999999998</v>
      </c>
      <c r="G9" s="5">
        <v>207.48699999999999</v>
      </c>
      <c r="H9" s="5">
        <v>313.32299999999998</v>
      </c>
      <c r="I9" s="5">
        <f t="shared" ref="I9:I11" si="29">M9-SUM(F9:H9)</f>
        <v>290.77500000000009</v>
      </c>
      <c r="J9" s="5"/>
      <c r="K9" s="5">
        <v>981.5</v>
      </c>
      <c r="L9" s="5">
        <v>1185.9770000000001</v>
      </c>
      <c r="M9" s="5">
        <f>1200.718</f>
        <v>1200.7180000000001</v>
      </c>
      <c r="N9" s="5">
        <f>M9*1.1</f>
        <v>1320.7898000000002</v>
      </c>
      <c r="O9" s="5">
        <f t="shared" ref="O9:T9" si="30">N9*1.1</f>
        <v>1452.8687800000005</v>
      </c>
      <c r="P9" s="5">
        <f t="shared" si="30"/>
        <v>1598.1556580000006</v>
      </c>
      <c r="Q9" s="5">
        <f t="shared" si="30"/>
        <v>1757.9712238000009</v>
      </c>
      <c r="R9" s="5">
        <f t="shared" si="30"/>
        <v>1933.7683461800011</v>
      </c>
      <c r="S9" s="5">
        <f t="shared" si="30"/>
        <v>2127.1451807980015</v>
      </c>
      <c r="T9" s="5">
        <f t="shared" si="30"/>
        <v>2339.8596988778017</v>
      </c>
    </row>
    <row r="10" spans="1:31" x14ac:dyDescent="0.25">
      <c r="A10" t="s">
        <v>10</v>
      </c>
      <c r="B10" s="5">
        <v>81.352000000000004</v>
      </c>
      <c r="C10" s="5">
        <v>77.201999999999998</v>
      </c>
      <c r="D10" s="5">
        <v>76.299000000000007</v>
      </c>
      <c r="E10" s="5">
        <f t="shared" si="28"/>
        <v>83.394000000000005</v>
      </c>
      <c r="F10" s="5">
        <v>88.087999999999994</v>
      </c>
      <c r="G10" s="5">
        <v>89.906000000000006</v>
      </c>
      <c r="H10" s="5">
        <v>89.004999999999995</v>
      </c>
      <c r="I10" s="5">
        <f t="shared" si="29"/>
        <v>88.156999999999982</v>
      </c>
      <c r="J10" s="5"/>
      <c r="K10" s="5">
        <v>253.655</v>
      </c>
      <c r="L10" s="5">
        <v>318.24700000000001</v>
      </c>
      <c r="M10" s="5">
        <v>355.15600000000001</v>
      </c>
      <c r="N10" s="5">
        <f>M10*1.05</f>
        <v>372.91380000000004</v>
      </c>
      <c r="O10" s="5">
        <f t="shared" ref="O10:T10" si="31">N10*1.05</f>
        <v>391.55949000000004</v>
      </c>
      <c r="P10" s="5">
        <f t="shared" si="31"/>
        <v>411.13746450000008</v>
      </c>
      <c r="Q10" s="5">
        <f t="shared" si="31"/>
        <v>431.69433772500008</v>
      </c>
      <c r="R10" s="5">
        <f t="shared" si="31"/>
        <v>453.2790546112501</v>
      </c>
      <c r="S10" s="5">
        <f t="shared" si="31"/>
        <v>475.94300734181263</v>
      </c>
      <c r="T10" s="5">
        <f t="shared" si="31"/>
        <v>499.74015770890327</v>
      </c>
    </row>
    <row r="11" spans="1:31" x14ac:dyDescent="0.25">
      <c r="A11" t="s">
        <v>11</v>
      </c>
      <c r="B11" s="5">
        <v>216.60599999999999</v>
      </c>
      <c r="C11" s="5">
        <v>187.60900000000001</v>
      </c>
      <c r="D11" s="5">
        <v>186.261</v>
      </c>
      <c r="E11" s="5">
        <f t="shared" si="28"/>
        <v>173.24400000000003</v>
      </c>
      <c r="F11" s="5">
        <v>160.476</v>
      </c>
      <c r="G11" s="5">
        <v>136.256</v>
      </c>
      <c r="H11" s="5">
        <v>130.761</v>
      </c>
      <c r="I11" s="5">
        <f t="shared" si="29"/>
        <v>179.07600000000002</v>
      </c>
      <c r="J11" s="5"/>
      <c r="K11" s="5">
        <v>828.32500000000005</v>
      </c>
      <c r="L11" s="5">
        <v>763.72</v>
      </c>
      <c r="M11" s="5">
        <v>606.56899999999996</v>
      </c>
      <c r="N11" s="5">
        <f>M11*1.03</f>
        <v>624.76607000000001</v>
      </c>
      <c r="O11" s="5">
        <f t="shared" ref="O11:T11" si="32">N11*1.03</f>
        <v>643.50905210000008</v>
      </c>
      <c r="P11" s="5">
        <f t="shared" si="32"/>
        <v>662.8143236630001</v>
      </c>
      <c r="Q11" s="5">
        <f t="shared" si="32"/>
        <v>682.69875337289011</v>
      </c>
      <c r="R11" s="5">
        <f t="shared" si="32"/>
        <v>703.17971597407688</v>
      </c>
      <c r="S11" s="5">
        <f t="shared" si="32"/>
        <v>724.27510745329926</v>
      </c>
      <c r="T11" s="5">
        <f t="shared" si="32"/>
        <v>746.0033606768983</v>
      </c>
    </row>
    <row r="12" spans="1:31" x14ac:dyDescent="0.25">
      <c r="A12" t="s">
        <v>12</v>
      </c>
      <c r="B12" s="5">
        <f t="shared" ref="B12:H12" si="33">B9+B10+B11</f>
        <v>619.41</v>
      </c>
      <c r="C12" s="5">
        <f t="shared" si="33"/>
        <v>462.34000000000003</v>
      </c>
      <c r="D12" s="5">
        <f t="shared" si="33"/>
        <v>584.274</v>
      </c>
      <c r="E12" s="5">
        <f t="shared" si="33"/>
        <v>601.92000000000019</v>
      </c>
      <c r="F12" s="5">
        <f t="shared" si="33"/>
        <v>637.697</v>
      </c>
      <c r="G12" s="5">
        <f t="shared" si="33"/>
        <v>433.649</v>
      </c>
      <c r="H12" s="5">
        <f t="shared" si="33"/>
        <v>533.08899999999994</v>
      </c>
      <c r="I12" s="5">
        <f t="shared" ref="I12" si="34">I9+I10+I11</f>
        <v>558.00800000000004</v>
      </c>
      <c r="J12" s="5"/>
      <c r="K12" s="5">
        <f>K9+K10+K11</f>
        <v>2063.48</v>
      </c>
      <c r="L12" s="5">
        <f t="shared" ref="L12:M12" si="35">L9+L10+L11</f>
        <v>2267.9440000000004</v>
      </c>
      <c r="M12" s="5">
        <f t="shared" si="35"/>
        <v>2162.4430000000002</v>
      </c>
      <c r="N12" s="5">
        <f t="shared" ref="N12" si="36">N9+N10+N11</f>
        <v>2318.4696700000004</v>
      </c>
      <c r="O12" s="5">
        <f t="shared" ref="O12" si="37">O9+O10+O11</f>
        <v>2487.9373221000005</v>
      </c>
      <c r="P12" s="5">
        <f t="shared" ref="P12" si="38">P9+P10+P11</f>
        <v>2672.1074461630005</v>
      </c>
      <c r="Q12" s="5">
        <f t="shared" ref="Q12" si="39">Q9+Q10+Q11</f>
        <v>2872.3643148978913</v>
      </c>
      <c r="R12" s="5">
        <f t="shared" ref="R12" si="40">R9+R10+R11</f>
        <v>3090.227116765328</v>
      </c>
      <c r="S12" s="5">
        <f t="shared" ref="S12" si="41">S9+S10+S11</f>
        <v>3327.3632955931134</v>
      </c>
      <c r="T12" s="5">
        <f t="shared" ref="T12" si="42">T9+T10+T11</f>
        <v>3585.6032172636033</v>
      </c>
    </row>
    <row r="13" spans="1:31" x14ac:dyDescent="0.25">
      <c r="A13" s="3" t="s">
        <v>13</v>
      </c>
      <c r="B13" s="6">
        <f t="shared" ref="B13:H13" si="43">B8-B12</f>
        <v>-515.58400000000006</v>
      </c>
      <c r="C13" s="6">
        <f t="shared" si="43"/>
        <v>-308.92200000000003</v>
      </c>
      <c r="D13" s="6">
        <f t="shared" si="43"/>
        <v>-455.02800000000002</v>
      </c>
      <c r="E13" s="6">
        <f t="shared" si="43"/>
        <v>-232.22199999999987</v>
      </c>
      <c r="F13" s="6">
        <f t="shared" si="43"/>
        <v>-389.78500000000008</v>
      </c>
      <c r="G13" s="6">
        <f t="shared" si="43"/>
        <v>-69.044999999999959</v>
      </c>
      <c r="H13" s="6">
        <f t="shared" si="43"/>
        <v>-286.5859999999999</v>
      </c>
      <c r="I13" s="6">
        <f t="shared" ref="I13" si="44">I8-I12</f>
        <v>-43.809000000000651</v>
      </c>
      <c r="J13" s="6"/>
      <c r="K13" s="6">
        <f>K8-K12</f>
        <v>-1561.6780000000001</v>
      </c>
      <c r="L13" s="6">
        <f t="shared" ref="L13:M13" si="45">L8-L12</f>
        <v>-1511.7560000000001</v>
      </c>
      <c r="M13" s="6">
        <f t="shared" si="45"/>
        <v>-789.22500000000036</v>
      </c>
      <c r="N13" s="6">
        <f t="shared" ref="N13" si="46">N8-N12</f>
        <v>615.59282999999959</v>
      </c>
      <c r="O13" s="6">
        <f t="shared" ref="O13" si="47">O8-O12</f>
        <v>2496.1615978999998</v>
      </c>
      <c r="P13" s="6">
        <f t="shared" ref="P13" si="48">P8-P12</f>
        <v>4207.2603593370004</v>
      </c>
      <c r="Q13" s="6">
        <f t="shared" ref="Q13" si="49">Q8-Q12</f>
        <v>6660.2857979271103</v>
      </c>
      <c r="R13" s="6">
        <f t="shared" ref="R13" si="50">R8-R12</f>
        <v>9281.6894482271782</v>
      </c>
      <c r="S13" s="6">
        <f t="shared" ref="S13" si="51">S8-S12</f>
        <v>8439.4363792426429</v>
      </c>
      <c r="T13" s="6">
        <f t="shared" ref="T13" si="52">T8-T12</f>
        <v>6966.57045910533</v>
      </c>
    </row>
    <row r="14" spans="1:31" x14ac:dyDescent="0.25">
      <c r="A14" t="s">
        <v>14</v>
      </c>
      <c r="B14" s="5">
        <f>0.801-0.653</f>
        <v>0.14800000000000002</v>
      </c>
      <c r="C14" s="5">
        <f>2.59-0.661</f>
        <v>1.9289999999999998</v>
      </c>
      <c r="D14" s="5">
        <f>6.969-0.668</f>
        <v>6.3010000000000002</v>
      </c>
      <c r="E14" s="5">
        <f t="shared" ref="E14:E16" si="53">L14-SUM(B14:D14)</f>
        <v>10.324000000000002</v>
      </c>
      <c r="F14" s="5">
        <f>11.795-0.655</f>
        <v>11.14</v>
      </c>
      <c r="G14" s="5">
        <f>13.411-0.666</f>
        <v>12.744999999999999</v>
      </c>
      <c r="H14" s="5">
        <f>14.42-0.67</f>
        <v>13.75</v>
      </c>
      <c r="I14" s="5">
        <f t="shared" ref="I14:I16" si="54">M14-SUM(F14:H14)</f>
        <v>18.103999999999999</v>
      </c>
      <c r="J14" s="5"/>
      <c r="K14" s="5">
        <f>4.066-2.109</f>
        <v>1.9569999999999999</v>
      </c>
      <c r="L14" s="5">
        <f>21.353-2.651</f>
        <v>18.702000000000002</v>
      </c>
      <c r="M14" s="5">
        <f>58.418-2.679</f>
        <v>55.738999999999997</v>
      </c>
      <c r="N14" s="5">
        <f>M14*1.05</f>
        <v>58.525950000000002</v>
      </c>
      <c r="O14" s="5">
        <f>N14*0.97</f>
        <v>56.770171500000004</v>
      </c>
      <c r="P14" s="5">
        <f t="shared" ref="P14:T14" si="55">O14*0.97</f>
        <v>55.067066355000001</v>
      </c>
      <c r="Q14" s="5">
        <f t="shared" si="55"/>
        <v>53.415054364349999</v>
      </c>
      <c r="R14" s="5">
        <f t="shared" si="55"/>
        <v>51.812602733419496</v>
      </c>
      <c r="S14" s="5">
        <f t="shared" si="55"/>
        <v>50.25822465141691</v>
      </c>
      <c r="T14" s="5">
        <f t="shared" si="55"/>
        <v>48.750477911874398</v>
      </c>
    </row>
    <row r="15" spans="1:31" x14ac:dyDescent="0.25">
      <c r="A15" t="s">
        <v>20</v>
      </c>
      <c r="B15" s="5">
        <v>12.680999999999999</v>
      </c>
      <c r="C15" s="5">
        <v>14.315</v>
      </c>
      <c r="D15" s="5">
        <v>-6.7969999999999997</v>
      </c>
      <c r="E15" s="5">
        <f t="shared" si="53"/>
        <v>9.1970000000000027</v>
      </c>
      <c r="F15" s="5">
        <v>-17.035</v>
      </c>
      <c r="G15" s="5">
        <v>-20.041</v>
      </c>
      <c r="H15" s="5">
        <v>-7.7510000000000003</v>
      </c>
      <c r="I15" s="5">
        <f t="shared" si="54"/>
        <v>-12.716000000000001</v>
      </c>
      <c r="J15" s="5"/>
      <c r="K15" s="5">
        <v>30.065000000000001</v>
      </c>
      <c r="L15" s="5">
        <v>29.396000000000001</v>
      </c>
      <c r="M15" s="5">
        <v>-57.542999999999999</v>
      </c>
      <c r="N15" s="5">
        <v>0</v>
      </c>
      <c r="O15" s="5">
        <f>N15</f>
        <v>0</v>
      </c>
      <c r="P15" s="5">
        <f t="shared" ref="P15:T15" si="56">O15</f>
        <v>0</v>
      </c>
      <c r="Q15" s="5">
        <f t="shared" si="56"/>
        <v>0</v>
      </c>
      <c r="R15" s="5">
        <f t="shared" si="56"/>
        <v>0</v>
      </c>
      <c r="S15" s="5">
        <f t="shared" si="56"/>
        <v>0</v>
      </c>
      <c r="T15" s="5">
        <f t="shared" si="56"/>
        <v>0</v>
      </c>
    </row>
    <row r="16" spans="1:31" x14ac:dyDescent="0.25">
      <c r="A16" t="s">
        <v>19</v>
      </c>
      <c r="B16" s="5">
        <v>37.881999999999998</v>
      </c>
      <c r="C16" s="5">
        <v>-5.5730000000000004</v>
      </c>
      <c r="D16" s="5">
        <v>8.2569999999999997</v>
      </c>
      <c r="E16" s="5">
        <f t="shared" si="53"/>
        <v>-19.865999999999996</v>
      </c>
      <c r="F16" s="5">
        <v>1.9E-2</v>
      </c>
      <c r="G16" s="5">
        <v>4.4999999999999998E-2</v>
      </c>
      <c r="H16" s="5">
        <v>-1.2170000000000001</v>
      </c>
      <c r="I16" s="5">
        <f t="shared" si="54"/>
        <v>0.92900000000000005</v>
      </c>
      <c r="J16" s="5"/>
      <c r="K16" s="5">
        <v>11.951000000000001</v>
      </c>
      <c r="L16" s="5">
        <v>20.7</v>
      </c>
      <c r="M16" s="5">
        <v>-0.224</v>
      </c>
      <c r="N16" s="5">
        <v>0</v>
      </c>
      <c r="O16" s="5">
        <v>0</v>
      </c>
      <c r="P16" s="5">
        <v>0</v>
      </c>
      <c r="Q16" s="5">
        <v>0</v>
      </c>
      <c r="R16" s="5">
        <v>0</v>
      </c>
      <c r="S16" s="5">
        <v>0</v>
      </c>
      <c r="T16" s="5">
        <v>0</v>
      </c>
    </row>
    <row r="17" spans="1:100" x14ac:dyDescent="0.25">
      <c r="A17" s="3" t="s">
        <v>15</v>
      </c>
      <c r="B17" s="6">
        <f t="shared" ref="B17:H17" si="57">B13+B14+B15+B16</f>
        <v>-464.87300000000005</v>
      </c>
      <c r="C17" s="6">
        <f t="shared" si="57"/>
        <v>-298.25100000000003</v>
      </c>
      <c r="D17" s="6">
        <f t="shared" si="57"/>
        <v>-447.26700000000005</v>
      </c>
      <c r="E17" s="6">
        <f t="shared" si="57"/>
        <v>-232.56699999999984</v>
      </c>
      <c r="F17" s="6">
        <f t="shared" si="57"/>
        <v>-395.66100000000012</v>
      </c>
      <c r="G17" s="6">
        <f t="shared" si="57"/>
        <v>-76.295999999999964</v>
      </c>
      <c r="H17" s="6">
        <f t="shared" si="57"/>
        <v>-281.80399999999986</v>
      </c>
      <c r="I17" s="6">
        <f t="shared" ref="I17" si="58">I13+I14+I15+I16</f>
        <v>-37.492000000000651</v>
      </c>
      <c r="J17" s="6"/>
      <c r="K17" s="6">
        <f>K13+K14+K15+K16</f>
        <v>-1517.7049999999999</v>
      </c>
      <c r="L17" s="6">
        <f t="shared" ref="L17:M17" si="59">L13+L14+L15+L16</f>
        <v>-1442.9580000000001</v>
      </c>
      <c r="M17" s="6">
        <f t="shared" si="59"/>
        <v>-791.25300000000038</v>
      </c>
      <c r="N17" s="6">
        <f t="shared" ref="N17" si="60">N13+N14+N15+N16</f>
        <v>674.11877999999956</v>
      </c>
      <c r="O17" s="6">
        <f t="shared" ref="O17" si="61">O13+O14+O15+O16</f>
        <v>2552.9317693999997</v>
      </c>
      <c r="P17" s="6">
        <f t="shared" ref="P17" si="62">P13+P14+P15+P16</f>
        <v>4262.3274256920004</v>
      </c>
      <c r="Q17" s="6">
        <f t="shared" ref="Q17" si="63">Q13+Q14+Q15+Q16</f>
        <v>6713.7008522914603</v>
      </c>
      <c r="R17" s="6">
        <f t="shared" ref="R17" si="64">R13+R14+R15+R16</f>
        <v>9333.5020509605984</v>
      </c>
      <c r="S17" s="6">
        <f t="shared" ref="S17" si="65">S13+S14+S15+S16</f>
        <v>8489.6946038940605</v>
      </c>
      <c r="T17" s="6">
        <f t="shared" ref="T17" si="66">T13+T14+T15+T16</f>
        <v>7015.3209370172044</v>
      </c>
    </row>
    <row r="18" spans="1:100" x14ac:dyDescent="0.25">
      <c r="A18" t="s">
        <v>16</v>
      </c>
      <c r="B18" s="5">
        <v>0.46899999999999997</v>
      </c>
      <c r="C18" s="5">
        <v>-81.225999999999999</v>
      </c>
      <c r="D18" s="5">
        <v>3.177</v>
      </c>
      <c r="E18" s="5">
        <f t="shared" ref="E18:E19" si="67">L18-SUM(B18:D18)</f>
        <v>9.7139999999999986</v>
      </c>
      <c r="F18" s="5">
        <v>1.3680000000000001</v>
      </c>
      <c r="G18" s="5">
        <v>0.65100000000000002</v>
      </c>
      <c r="H18" s="5">
        <v>1.2909999999999999</v>
      </c>
      <c r="I18" s="5">
        <f t="shared" ref="I18:I19" si="68">M18-SUM(F18:H18)</f>
        <v>6.8599999999999994</v>
      </c>
      <c r="J18" s="5"/>
      <c r="K18" s="5">
        <v>8.2690000000000001</v>
      </c>
      <c r="L18" s="5">
        <v>-67.866</v>
      </c>
      <c r="M18" s="5">
        <v>10.17</v>
      </c>
      <c r="N18" s="5">
        <f>N17*0.15</f>
        <v>101.11781699999993</v>
      </c>
      <c r="O18" s="5">
        <f t="shared" ref="O18:T18" si="69">O17*0.15</f>
        <v>382.93976540999995</v>
      </c>
      <c r="P18" s="5">
        <f t="shared" si="69"/>
        <v>639.34911385380008</v>
      </c>
      <c r="Q18" s="5">
        <f t="shared" si="69"/>
        <v>1007.055127843719</v>
      </c>
      <c r="R18" s="5">
        <f t="shared" si="69"/>
        <v>1400.0253076440897</v>
      </c>
      <c r="S18" s="5">
        <f t="shared" si="69"/>
        <v>1273.454190584109</v>
      </c>
      <c r="T18" s="5">
        <f t="shared" si="69"/>
        <v>1052.2981405525807</v>
      </c>
    </row>
    <row r="19" spans="1:100" x14ac:dyDescent="0.25">
      <c r="A19" t="s">
        <v>17</v>
      </c>
      <c r="B19" s="5">
        <v>2.351</v>
      </c>
      <c r="C19" s="5">
        <v>7.8E-2</v>
      </c>
      <c r="D19" s="5">
        <v>0.05</v>
      </c>
      <c r="E19" s="5">
        <f t="shared" si="67"/>
        <v>0.41600000000000037</v>
      </c>
      <c r="F19" s="5">
        <v>0.11899999999999999</v>
      </c>
      <c r="G19" s="5">
        <v>0.32300000000000001</v>
      </c>
      <c r="H19" s="5">
        <v>8.0000000000000002E-3</v>
      </c>
      <c r="I19" s="5">
        <f t="shared" si="68"/>
        <v>0.26899999999999996</v>
      </c>
      <c r="J19" s="5"/>
      <c r="K19" s="5">
        <v>-2.718</v>
      </c>
      <c r="L19" s="5">
        <v>2.895</v>
      </c>
      <c r="M19" s="5">
        <v>0.71899999999999997</v>
      </c>
      <c r="N19" s="5">
        <v>0</v>
      </c>
      <c r="O19" s="5">
        <v>0</v>
      </c>
      <c r="P19" s="5">
        <v>0</v>
      </c>
      <c r="Q19" s="5">
        <v>0</v>
      </c>
      <c r="R19" s="5">
        <v>0</v>
      </c>
      <c r="S19" s="5">
        <v>0</v>
      </c>
      <c r="T19" s="5">
        <v>0</v>
      </c>
    </row>
    <row r="20" spans="1:100" x14ac:dyDescent="0.25">
      <c r="A20" s="3" t="s">
        <v>18</v>
      </c>
      <c r="B20" s="6">
        <f t="shared" ref="B20:H20" si="70">B17-B18-B19</f>
        <v>-467.69300000000004</v>
      </c>
      <c r="C20" s="6">
        <f t="shared" si="70"/>
        <v>-217.10300000000004</v>
      </c>
      <c r="D20" s="6">
        <f t="shared" si="70"/>
        <v>-450.49400000000009</v>
      </c>
      <c r="E20" s="6">
        <f t="shared" si="70"/>
        <v>-242.69699999999983</v>
      </c>
      <c r="F20" s="6">
        <f t="shared" si="70"/>
        <v>-397.14800000000014</v>
      </c>
      <c r="G20" s="6">
        <f t="shared" si="70"/>
        <v>-77.269999999999953</v>
      </c>
      <c r="H20" s="6">
        <f t="shared" si="70"/>
        <v>-283.10299999999984</v>
      </c>
      <c r="I20" s="6">
        <f t="shared" ref="I20" si="71">I17-I18-I19</f>
        <v>-44.621000000000649</v>
      </c>
      <c r="J20" s="6"/>
      <c r="K20" s="6">
        <f>K17-K18-K19</f>
        <v>-1523.2559999999999</v>
      </c>
      <c r="L20" s="6">
        <f t="shared" ref="L20:M20" si="72">L17-L18-L19</f>
        <v>-1377.9870000000001</v>
      </c>
      <c r="M20" s="6">
        <f t="shared" si="72"/>
        <v>-802.14200000000039</v>
      </c>
      <c r="N20" s="6">
        <f t="shared" ref="N20" si="73">N17-N18-N19</f>
        <v>573.00096299999962</v>
      </c>
      <c r="O20" s="6">
        <f t="shared" ref="O20" si="74">O17-O18-O19</f>
        <v>2169.9920039899998</v>
      </c>
      <c r="P20" s="6">
        <f t="shared" ref="P20" si="75">P17-P18-P19</f>
        <v>3622.9783118382002</v>
      </c>
      <c r="Q20" s="6">
        <f t="shared" ref="Q20" si="76">Q17-Q18-Q19</f>
        <v>5706.6457244477415</v>
      </c>
      <c r="R20" s="6">
        <f t="shared" ref="R20" si="77">R17-R18-R19</f>
        <v>7933.4767433165089</v>
      </c>
      <c r="S20" s="6">
        <f t="shared" ref="S20" si="78">S17-S18-S19</f>
        <v>7216.2404133099517</v>
      </c>
      <c r="T20" s="6">
        <f t="shared" ref="T20" si="79">T17-T18-T19</f>
        <v>5963.0227964646238</v>
      </c>
      <c r="U20" s="6">
        <f>T20*(1+$W$4)</f>
        <v>5903.3925684999776</v>
      </c>
      <c r="V20" s="6">
        <f t="shared" ref="V20:CG20" si="80">U20*(1+$W$4)</f>
        <v>5844.3586428149774</v>
      </c>
      <c r="W20" s="6">
        <f t="shared" si="80"/>
        <v>5785.9150563868279</v>
      </c>
      <c r="X20" s="6">
        <f t="shared" si="80"/>
        <v>5728.0559058229592</v>
      </c>
      <c r="Y20" s="6">
        <f t="shared" si="80"/>
        <v>5670.7753467647299</v>
      </c>
      <c r="Z20" s="6">
        <f t="shared" si="80"/>
        <v>5614.0675932970826</v>
      </c>
      <c r="AA20" s="6">
        <f t="shared" si="80"/>
        <v>5557.9269173641114</v>
      </c>
      <c r="AB20" s="6">
        <f t="shared" si="80"/>
        <v>5502.34764819047</v>
      </c>
      <c r="AC20" s="6">
        <f t="shared" si="80"/>
        <v>5447.3241717085648</v>
      </c>
      <c r="AD20" s="6">
        <f t="shared" si="80"/>
        <v>5392.8509299914795</v>
      </c>
      <c r="AE20" s="6">
        <f t="shared" si="80"/>
        <v>5338.9224206915642</v>
      </c>
      <c r="AF20" s="6">
        <f t="shared" si="80"/>
        <v>5285.5331964846482</v>
      </c>
      <c r="AG20" s="6">
        <f t="shared" si="80"/>
        <v>5232.6778645198019</v>
      </c>
      <c r="AH20" s="6">
        <f t="shared" si="80"/>
        <v>5180.351085874604</v>
      </c>
      <c r="AI20" s="6">
        <f t="shared" si="80"/>
        <v>5128.5475750158575</v>
      </c>
      <c r="AJ20" s="6">
        <f t="shared" si="80"/>
        <v>5077.2620992656994</v>
      </c>
      <c r="AK20" s="6">
        <f t="shared" si="80"/>
        <v>5026.4894782730426</v>
      </c>
      <c r="AL20" s="6">
        <f t="shared" si="80"/>
        <v>4976.2245834903124</v>
      </c>
      <c r="AM20" s="6">
        <f t="shared" si="80"/>
        <v>4926.4623376554091</v>
      </c>
      <c r="AN20" s="6">
        <f t="shared" si="80"/>
        <v>4877.1977142788546</v>
      </c>
      <c r="AO20" s="6">
        <f t="shared" si="80"/>
        <v>4828.4257371360663</v>
      </c>
      <c r="AP20" s="6">
        <f t="shared" si="80"/>
        <v>4780.1414797647058</v>
      </c>
      <c r="AQ20" s="6">
        <f t="shared" si="80"/>
        <v>4732.3400649670584</v>
      </c>
      <c r="AR20" s="6">
        <f t="shared" si="80"/>
        <v>4685.0166643173879</v>
      </c>
      <c r="AS20" s="6">
        <f t="shared" si="80"/>
        <v>4638.166497674214</v>
      </c>
      <c r="AT20" s="6">
        <f t="shared" si="80"/>
        <v>4591.7848326974718</v>
      </c>
      <c r="AU20" s="6">
        <f t="shared" si="80"/>
        <v>4545.8669843704974</v>
      </c>
      <c r="AV20" s="6">
        <f t="shared" si="80"/>
        <v>4500.4083145267923</v>
      </c>
      <c r="AW20" s="6">
        <f t="shared" si="80"/>
        <v>4455.4042313815244</v>
      </c>
      <c r="AX20" s="6">
        <f t="shared" si="80"/>
        <v>4410.8501890677089</v>
      </c>
      <c r="AY20" s="6">
        <f t="shared" si="80"/>
        <v>4366.741687177032</v>
      </c>
      <c r="AZ20" s="6">
        <f t="shared" si="80"/>
        <v>4323.074270305262</v>
      </c>
      <c r="BA20" s="6">
        <f t="shared" si="80"/>
        <v>4279.8435276022092</v>
      </c>
      <c r="BB20" s="6">
        <f t="shared" si="80"/>
        <v>4237.0450923261869</v>
      </c>
      <c r="BC20" s="6">
        <f t="shared" si="80"/>
        <v>4194.6746414029249</v>
      </c>
      <c r="BD20" s="6">
        <f t="shared" si="80"/>
        <v>4152.727894988896</v>
      </c>
      <c r="BE20" s="6">
        <f t="shared" si="80"/>
        <v>4111.2006160390074</v>
      </c>
      <c r="BF20" s="6">
        <f t="shared" si="80"/>
        <v>4070.0886098786173</v>
      </c>
      <c r="BG20" s="6">
        <f t="shared" si="80"/>
        <v>4029.387723779831</v>
      </c>
      <c r="BH20" s="6">
        <f t="shared" si="80"/>
        <v>3989.0938465420327</v>
      </c>
      <c r="BI20" s="6">
        <f t="shared" si="80"/>
        <v>3949.2029080766124</v>
      </c>
      <c r="BJ20" s="6">
        <f t="shared" si="80"/>
        <v>3909.7108789958461</v>
      </c>
      <c r="BK20" s="6">
        <f t="shared" si="80"/>
        <v>3870.6137702058877</v>
      </c>
      <c r="BL20" s="6">
        <f t="shared" si="80"/>
        <v>3831.9076325038286</v>
      </c>
      <c r="BM20" s="6">
        <f t="shared" si="80"/>
        <v>3793.5885561787904</v>
      </c>
      <c r="BN20" s="6">
        <f t="shared" si="80"/>
        <v>3755.6526706170025</v>
      </c>
      <c r="BO20" s="6">
        <f t="shared" si="80"/>
        <v>3718.0961439108323</v>
      </c>
      <c r="BP20" s="6">
        <f t="shared" si="80"/>
        <v>3680.9151824717242</v>
      </c>
      <c r="BQ20" s="6">
        <f t="shared" si="80"/>
        <v>3644.1060306470067</v>
      </c>
      <c r="BR20" s="6">
        <f t="shared" si="80"/>
        <v>3607.6649703405365</v>
      </c>
      <c r="BS20" s="6">
        <f t="shared" si="80"/>
        <v>3571.5883206371309</v>
      </c>
      <c r="BT20" s="6">
        <f t="shared" si="80"/>
        <v>3535.8724374307594</v>
      </c>
      <c r="BU20" s="6">
        <f t="shared" si="80"/>
        <v>3500.5137130564517</v>
      </c>
      <c r="BV20" s="6">
        <f t="shared" si="80"/>
        <v>3465.5085759258873</v>
      </c>
      <c r="BW20" s="6">
        <f t="shared" si="80"/>
        <v>3430.8534901666285</v>
      </c>
      <c r="BX20" s="6">
        <f t="shared" si="80"/>
        <v>3396.544955264962</v>
      </c>
      <c r="BY20" s="6">
        <f t="shared" si="80"/>
        <v>3362.5795057123123</v>
      </c>
      <c r="BZ20" s="6">
        <f t="shared" si="80"/>
        <v>3328.9537106551893</v>
      </c>
      <c r="CA20" s="6">
        <f t="shared" si="80"/>
        <v>3295.6641735486373</v>
      </c>
      <c r="CB20" s="6">
        <f t="shared" si="80"/>
        <v>3262.707531813151</v>
      </c>
      <c r="CC20" s="6">
        <f t="shared" si="80"/>
        <v>3230.0804564950195</v>
      </c>
      <c r="CD20" s="6">
        <f t="shared" si="80"/>
        <v>3197.7796519300691</v>
      </c>
      <c r="CE20" s="6">
        <f t="shared" si="80"/>
        <v>3165.8018554107684</v>
      </c>
      <c r="CF20" s="6">
        <f t="shared" si="80"/>
        <v>3134.1438368566605</v>
      </c>
      <c r="CG20" s="6">
        <f t="shared" si="80"/>
        <v>3102.8023984880938</v>
      </c>
      <c r="CH20" s="6">
        <f t="shared" ref="CH20:CV20" si="81">CG20*(1+$W$4)</f>
        <v>3071.774374503213</v>
      </c>
      <c r="CI20" s="6">
        <f t="shared" si="81"/>
        <v>3041.0566307581807</v>
      </c>
      <c r="CJ20" s="6">
        <f t="shared" si="81"/>
        <v>3010.6460644505987</v>
      </c>
      <c r="CK20" s="6">
        <f t="shared" si="81"/>
        <v>2980.5396038060926</v>
      </c>
      <c r="CL20" s="6">
        <f t="shared" si="81"/>
        <v>2950.7342077680319</v>
      </c>
      <c r="CM20" s="6">
        <f t="shared" si="81"/>
        <v>2921.2268656903516</v>
      </c>
      <c r="CN20" s="6">
        <f t="shared" si="81"/>
        <v>2892.0145970334479</v>
      </c>
      <c r="CO20" s="6">
        <f t="shared" si="81"/>
        <v>2863.0944510631134</v>
      </c>
      <c r="CP20" s="6">
        <f t="shared" si="81"/>
        <v>2834.4635065524822</v>
      </c>
      <c r="CQ20" s="6">
        <f t="shared" si="81"/>
        <v>2806.1188714869572</v>
      </c>
      <c r="CR20" s="6">
        <f t="shared" si="81"/>
        <v>2778.0576827720874</v>
      </c>
      <c r="CS20" s="6">
        <f t="shared" si="81"/>
        <v>2750.2771059443667</v>
      </c>
      <c r="CT20" s="6">
        <f t="shared" si="81"/>
        <v>2722.7743348849231</v>
      </c>
      <c r="CU20" s="6">
        <f t="shared" si="81"/>
        <v>2695.5465915360737</v>
      </c>
      <c r="CV20" s="6">
        <f t="shared" si="81"/>
        <v>2668.5911256207128</v>
      </c>
    </row>
    <row r="21" spans="1:100" x14ac:dyDescent="0.25">
      <c r="A21" t="s">
        <v>21</v>
      </c>
    </row>
    <row r="22" spans="1:100" x14ac:dyDescent="0.25">
      <c r="A22" t="s">
        <v>22</v>
      </c>
    </row>
    <row r="24" spans="1:100" x14ac:dyDescent="0.25">
      <c r="A24" t="s">
        <v>23</v>
      </c>
      <c r="B24" s="4"/>
      <c r="C24" s="4"/>
      <c r="D24" s="4"/>
      <c r="E24" s="4"/>
      <c r="F24" s="4">
        <f>F6/B6-1</f>
        <v>0.84478134250548287</v>
      </c>
      <c r="G24" s="4">
        <f>G6/C6-1</f>
        <v>0.87678067719896613</v>
      </c>
      <c r="H24" s="4">
        <f>H6/D6-1</f>
        <v>0.57381389733393373</v>
      </c>
      <c r="I24" s="4">
        <f>I6/E6-1</f>
        <v>0.43937492764283359</v>
      </c>
      <c r="K24" s="4"/>
      <c r="L24" s="4">
        <f>L6/K6-1</f>
        <v>0.72879879379365509</v>
      </c>
      <c r="M24" s="4">
        <f t="shared" ref="M24" si="82">M6/L6-1</f>
        <v>0.63599946618129022</v>
      </c>
      <c r="N24" s="4">
        <f t="shared" ref="N24" si="83">N6/M6-1</f>
        <v>0.67597512736014931</v>
      </c>
      <c r="O24" s="4">
        <f t="shared" ref="O24" si="84">O6/N6-1</f>
        <v>0.49042767361632533</v>
      </c>
      <c r="P24" s="4">
        <f t="shared" ref="P24" si="85">P6/O6-1</f>
        <v>0.34369216242120126</v>
      </c>
      <c r="Q24" s="4">
        <f t="shared" ref="Q24" si="86">Q6/P6-1</f>
        <v>0.34791421205526896</v>
      </c>
      <c r="R24" s="4">
        <f t="shared" ref="R24" si="87">R6/Q6-1</f>
        <v>0.2987620648696625</v>
      </c>
      <c r="S24" s="4">
        <f t="shared" ref="S24" si="88">S6/R6-1</f>
        <v>9.9571075546691423E-2</v>
      </c>
      <c r="T24" s="4">
        <f t="shared" ref="T24" si="89">T6/S6-1</f>
        <v>9.9648924915758164E-2</v>
      </c>
    </row>
    <row r="25" spans="1:100" x14ac:dyDescent="0.25">
      <c r="A25" t="s">
        <v>26</v>
      </c>
      <c r="B25" s="4">
        <f t="shared" ref="B25:I25" si="90">B8/B6</f>
        <v>0.24886087175369415</v>
      </c>
      <c r="C25" s="4">
        <f t="shared" si="90"/>
        <v>0.32909252764460462</v>
      </c>
      <c r="D25" s="4">
        <f t="shared" si="90"/>
        <v>0.25749395343648018</v>
      </c>
      <c r="E25" s="4">
        <f t="shared" si="90"/>
        <v>0.43232807060422201</v>
      </c>
      <c r="F25" s="4">
        <f t="shared" si="90"/>
        <v>0.32210921299496387</v>
      </c>
      <c r="G25" s="4">
        <f t="shared" si="90"/>
        <v>0.41672505249009351</v>
      </c>
      <c r="H25" s="4">
        <f t="shared" si="90"/>
        <v>0.31204609871170208</v>
      </c>
      <c r="I25" s="4">
        <f t="shared" si="90"/>
        <v>0.4177568962113386</v>
      </c>
      <c r="K25" s="4">
        <f>K8/K6</f>
        <v>0.38720365689170372</v>
      </c>
      <c r="L25" s="4">
        <f t="shared" ref="L25:M25" si="91">L8/L6</f>
        <v>0.33751446688873415</v>
      </c>
      <c r="M25" s="4">
        <f t="shared" si="91"/>
        <v>0.37464413775003114</v>
      </c>
      <c r="N25" s="4">
        <f t="shared" ref="N25:T25" si="92">N8/N6</f>
        <v>0.47761861565990826</v>
      </c>
      <c r="O25" s="4">
        <f t="shared" si="92"/>
        <v>0.5443617884560723</v>
      </c>
      <c r="P25" s="4">
        <f t="shared" si="92"/>
        <v>0.55917754708058576</v>
      </c>
      <c r="Q25" s="4">
        <f t="shared" si="92"/>
        <v>0.57484743192859755</v>
      </c>
      <c r="R25" s="4">
        <f t="shared" si="92"/>
        <v>0.57444219118896944</v>
      </c>
      <c r="S25" s="4">
        <f t="shared" si="92"/>
        <v>0.49687185871155809</v>
      </c>
      <c r="T25" s="4">
        <f t="shared" si="92"/>
        <v>0.40520418030228944</v>
      </c>
    </row>
    <row r="26" spans="1:100" x14ac:dyDescent="0.25">
      <c r="A26" t="s">
        <v>24</v>
      </c>
      <c r="B26" s="4">
        <f t="shared" ref="B26:I26" si="93">B13/B6</f>
        <v>-1.2358049400174975</v>
      </c>
      <c r="C26" s="4">
        <f t="shared" si="93"/>
        <v>-0.66265967373467616</v>
      </c>
      <c r="D26" s="4">
        <f t="shared" si="93"/>
        <v>-0.90654224226896551</v>
      </c>
      <c r="E26" s="4">
        <f t="shared" si="93"/>
        <v>-0.27156243531707908</v>
      </c>
      <c r="F26" s="4">
        <f t="shared" si="93"/>
        <v>-0.50644317171916675</v>
      </c>
      <c r="G26" s="4">
        <f t="shared" si="93"/>
        <v>-7.8915155207234383E-2</v>
      </c>
      <c r="H26" s="4">
        <f t="shared" si="93"/>
        <v>-0.36278683523280369</v>
      </c>
      <c r="I26" s="4">
        <f t="shared" si="93"/>
        <v>-3.5592274325937673E-2</v>
      </c>
      <c r="K26" s="4">
        <f>K13/K6</f>
        <v>-1.2050319298992875</v>
      </c>
      <c r="L26" s="4">
        <f t="shared" ref="L26:M26" si="94">L13/L6</f>
        <v>-0.67475220501495004</v>
      </c>
      <c r="M26" s="4">
        <f t="shared" si="94"/>
        <v>-0.21531797545310977</v>
      </c>
      <c r="N26" s="4">
        <f t="shared" ref="N26:T26" si="95">N13/N6</f>
        <v>0.10020870219184665</v>
      </c>
      <c r="O26" s="4">
        <f t="shared" si="95"/>
        <v>0.27263002069553849</v>
      </c>
      <c r="P26" s="4">
        <f t="shared" si="95"/>
        <v>0.34197990195880468</v>
      </c>
      <c r="Q26" s="4">
        <f t="shared" si="95"/>
        <v>0.40163523695241232</v>
      </c>
      <c r="R26" s="4">
        <f t="shared" si="95"/>
        <v>0.43095942302601403</v>
      </c>
      <c r="S26" s="4">
        <f t="shared" si="95"/>
        <v>0.35636864365082899</v>
      </c>
      <c r="T26" s="4">
        <f t="shared" si="95"/>
        <v>0.26751677511919902</v>
      </c>
    </row>
    <row r="27" spans="1:100" x14ac:dyDescent="0.25">
      <c r="A27" t="s">
        <v>25</v>
      </c>
      <c r="B27" s="4">
        <f t="shared" ref="B27:I27" si="96">B20/B6</f>
        <v>-1.1210148488153306</v>
      </c>
      <c r="C27" s="4">
        <f t="shared" si="96"/>
        <v>-0.46570138464343563</v>
      </c>
      <c r="D27" s="4">
        <f t="shared" si="96"/>
        <v>-0.89750925413098848</v>
      </c>
      <c r="E27" s="4">
        <f t="shared" si="96"/>
        <v>-0.28381199181881622</v>
      </c>
      <c r="F27" s="4">
        <f t="shared" si="96"/>
        <v>-0.51600983301544101</v>
      </c>
      <c r="G27" s="4">
        <f t="shared" si="96"/>
        <v>-8.8315939501238339E-2</v>
      </c>
      <c r="H27" s="4">
        <f t="shared" si="96"/>
        <v>-0.35837773448428184</v>
      </c>
      <c r="I27" s="4">
        <f t="shared" si="96"/>
        <v>-3.6251977280870699E-2</v>
      </c>
      <c r="K27" s="4">
        <f>K20/K6</f>
        <v>-1.1753845014213358</v>
      </c>
      <c r="L27" s="4">
        <f t="shared" ref="L27:M27" si="97">L20/L6</f>
        <v>-0.61504618915482123</v>
      </c>
      <c r="M27" s="4">
        <f t="shared" si="97"/>
        <v>-0.21884201775907805</v>
      </c>
      <c r="N27" s="4">
        <f t="shared" ref="N27:T27" si="98">N20/N6</f>
        <v>9.3275425019015146E-2</v>
      </c>
      <c r="O27" s="4">
        <f t="shared" si="98"/>
        <v>0.2370058755229065</v>
      </c>
      <c r="P27" s="4">
        <f t="shared" si="98"/>
        <v>0.29448754345132766</v>
      </c>
      <c r="Q27" s="4">
        <f t="shared" si="98"/>
        <v>0.34412787638262887</v>
      </c>
      <c r="R27" s="4">
        <f t="shared" si="98"/>
        <v>0.3683603700555852</v>
      </c>
      <c r="S27" s="4">
        <f t="shared" si="98"/>
        <v>0.30471724565335778</v>
      </c>
      <c r="T27" s="4">
        <f t="shared" si="98"/>
        <v>0.22898047724293683</v>
      </c>
    </row>
    <row r="29" spans="1:100" x14ac:dyDescent="0.25">
      <c r="A29" t="s">
        <v>27</v>
      </c>
      <c r="B29">
        <v>-356.71800000000002</v>
      </c>
      <c r="C29">
        <v>529.303</v>
      </c>
      <c r="D29">
        <v>-477.06099999999998</v>
      </c>
      <c r="E29">
        <f t="shared" ref="E29:E30" si="99">L29-SUM(B29:D29)</f>
        <v>-321.04300000000001</v>
      </c>
      <c r="F29">
        <v>-201.49199999999999</v>
      </c>
      <c r="G29">
        <v>-219.21299999999999</v>
      </c>
      <c r="H29">
        <v>-73.817999999999998</v>
      </c>
      <c r="I29">
        <f t="shared" ref="I29:I30" si="100">M29-SUM(F29:H29)</f>
        <v>492.77199999999999</v>
      </c>
      <c r="K29">
        <v>-419.50799999999998</v>
      </c>
      <c r="L29">
        <v>-625.51900000000001</v>
      </c>
      <c r="M29">
        <v>-1.7509999999999999</v>
      </c>
    </row>
    <row r="30" spans="1:100" x14ac:dyDescent="0.25">
      <c r="A30" t="s">
        <v>28</v>
      </c>
      <c r="B30">
        <v>8.6140000000000008</v>
      </c>
      <c r="C30">
        <v>14.457000000000001</v>
      </c>
      <c r="D30">
        <v>19.902999999999999</v>
      </c>
      <c r="E30">
        <f t="shared" si="99"/>
        <v>-10.572000000000003</v>
      </c>
      <c r="F30">
        <v>7.0940000000000003</v>
      </c>
      <c r="G30">
        <v>9.6489999999999991</v>
      </c>
      <c r="H30">
        <v>19.885000000000002</v>
      </c>
      <c r="I30">
        <f t="shared" si="100"/>
        <v>-15.725999999999999</v>
      </c>
      <c r="K30">
        <v>15.925000000000001</v>
      </c>
      <c r="L30">
        <v>32.402000000000001</v>
      </c>
      <c r="M30">
        <v>20.902000000000001</v>
      </c>
    </row>
    <row r="31" spans="1:100" x14ac:dyDescent="0.25">
      <c r="A31" t="s">
        <v>29</v>
      </c>
      <c r="B31">
        <f t="shared" ref="B31:H31" si="101">B29-B30</f>
        <v>-365.33199999999999</v>
      </c>
      <c r="C31">
        <f t="shared" si="101"/>
        <v>514.846</v>
      </c>
      <c r="D31">
        <f t="shared" si="101"/>
        <v>-496.964</v>
      </c>
      <c r="E31">
        <f t="shared" si="101"/>
        <v>-310.471</v>
      </c>
      <c r="F31">
        <f t="shared" si="101"/>
        <v>-208.58599999999998</v>
      </c>
      <c r="G31">
        <f t="shared" si="101"/>
        <v>-228.86199999999999</v>
      </c>
      <c r="H31">
        <f t="shared" si="101"/>
        <v>-93.703000000000003</v>
      </c>
      <c r="I31">
        <f t="shared" ref="I31" si="102">I29-I30</f>
        <v>508.49799999999999</v>
      </c>
      <c r="K31">
        <f>K29-K30</f>
        <v>-435.43299999999999</v>
      </c>
      <c r="L31">
        <f t="shared" ref="L31:M31" si="103">L29-L30</f>
        <v>-657.92100000000005</v>
      </c>
      <c r="M31">
        <f t="shared" si="103"/>
        <v>-22.653000000000002</v>
      </c>
    </row>
    <row r="33" spans="1:13" x14ac:dyDescent="0.25">
      <c r="A33" t="s">
        <v>30</v>
      </c>
      <c r="B33">
        <v>187.077</v>
      </c>
      <c r="C33">
        <v>322.59800000000001</v>
      </c>
      <c r="D33">
        <v>448.63600000000002</v>
      </c>
      <c r="E33">
        <f>L33-SUM(B33:D33)</f>
        <v>-379.51200000000006</v>
      </c>
      <c r="F33">
        <v>117.4</v>
      </c>
      <c r="G33">
        <v>206.59299999999999</v>
      </c>
      <c r="H33">
        <v>284.94600000000003</v>
      </c>
      <c r="I33">
        <f t="shared" ref="I33" si="104">M33-SUM(F33:H33)</f>
        <v>-210.47600000000006</v>
      </c>
      <c r="K33">
        <v>683.29300000000001</v>
      </c>
      <c r="L33">
        <v>578.79899999999998</v>
      </c>
      <c r="M33">
        <v>398.46300000000002</v>
      </c>
    </row>
    <row r="34" spans="1:13" x14ac:dyDescent="0.25">
      <c r="A34" t="s">
        <v>31</v>
      </c>
      <c r="B34">
        <f t="shared" ref="B34:H34" si="105">B31-B33</f>
        <v>-552.40899999999999</v>
      </c>
      <c r="C34">
        <f t="shared" si="105"/>
        <v>192.24799999999999</v>
      </c>
      <c r="D34">
        <f t="shared" si="105"/>
        <v>-945.6</v>
      </c>
      <c r="E34">
        <f t="shared" si="105"/>
        <v>69.041000000000054</v>
      </c>
      <c r="F34">
        <f t="shared" si="105"/>
        <v>-325.98599999999999</v>
      </c>
      <c r="G34">
        <f t="shared" si="105"/>
        <v>-435.45499999999998</v>
      </c>
      <c r="H34">
        <f t="shared" si="105"/>
        <v>-378.649</v>
      </c>
      <c r="I34">
        <f t="shared" ref="I34" si="106">I31-I33</f>
        <v>718.97400000000005</v>
      </c>
      <c r="K34">
        <f>K31-K33</f>
        <v>-1118.7260000000001</v>
      </c>
      <c r="L34">
        <f t="shared" ref="L34:M34" si="107">L31-L33</f>
        <v>-1236.72</v>
      </c>
      <c r="M34">
        <f t="shared" si="107"/>
        <v>-421.11600000000004</v>
      </c>
    </row>
    <row r="36" spans="1:13" x14ac:dyDescent="0.25">
      <c r="A36" t="s">
        <v>37</v>
      </c>
      <c r="K36">
        <v>1.5</v>
      </c>
      <c r="L36">
        <v>1.9</v>
      </c>
      <c r="M36">
        <v>2.7</v>
      </c>
    </row>
    <row r="37" spans="1:13" x14ac:dyDescent="0.25">
      <c r="A37" t="s">
        <v>38</v>
      </c>
      <c r="K37">
        <f>(K6/K36)</f>
        <v>863.976</v>
      </c>
      <c r="L37">
        <f t="shared" ref="L37:M37" si="108">L6/L36</f>
        <v>1179.1900000000003</v>
      </c>
      <c r="M37">
        <f t="shared" si="108"/>
        <v>1357.552962962963</v>
      </c>
    </row>
    <row r="38" spans="1:13" x14ac:dyDescent="0.25">
      <c r="A38" t="s">
        <v>39</v>
      </c>
      <c r="L38" s="4">
        <f>L37/K37-1</f>
        <v>0.36484115299499087</v>
      </c>
      <c r="M38" s="4">
        <f t="shared" ref="M38" si="109">M37/L37-1</f>
        <v>0.15125888360905582</v>
      </c>
    </row>
    <row r="40" spans="1:13" x14ac:dyDescent="0.25">
      <c r="A40" t="s">
        <v>51</v>
      </c>
      <c r="M40">
        <f>+M43+M52-M59</f>
        <v>27.022999999999911</v>
      </c>
    </row>
    <row r="42" spans="1:13" x14ac:dyDescent="0.25">
      <c r="A42" t="s">
        <v>52</v>
      </c>
    </row>
    <row r="43" spans="1:13" x14ac:dyDescent="0.25">
      <c r="A43" t="s">
        <v>4</v>
      </c>
      <c r="M43">
        <v>1270.5029999999999</v>
      </c>
    </row>
    <row r="44" spans="1:13" x14ac:dyDescent="0.25">
      <c r="A44" t="s">
        <v>53</v>
      </c>
      <c r="M44">
        <v>11.7</v>
      </c>
    </row>
    <row r="45" spans="1:13" x14ac:dyDescent="0.25">
      <c r="A45" t="s">
        <v>54</v>
      </c>
      <c r="M45">
        <v>341.29</v>
      </c>
    </row>
    <row r="46" spans="1:13" x14ac:dyDescent="0.25">
      <c r="A46" t="s">
        <v>56</v>
      </c>
      <c r="M46">
        <v>301.77</v>
      </c>
    </row>
    <row r="47" spans="1:13" x14ac:dyDescent="0.25">
      <c r="A47" t="s">
        <v>55</v>
      </c>
      <c r="M47">
        <v>47.539000000000001</v>
      </c>
    </row>
    <row r="48" spans="1:13" x14ac:dyDescent="0.25">
      <c r="A48" t="s">
        <v>58</v>
      </c>
      <c r="M48">
        <v>98.564999999999998</v>
      </c>
    </row>
    <row r="49" spans="1:13" x14ac:dyDescent="0.25">
      <c r="A49" t="s">
        <v>57</v>
      </c>
      <c r="M49">
        <v>60.695</v>
      </c>
    </row>
    <row r="50" spans="1:13" x14ac:dyDescent="0.25">
      <c r="A50" t="s">
        <v>59</v>
      </c>
      <c r="M50">
        <f>690.62+886.373</f>
        <v>1576.9929999999999</v>
      </c>
    </row>
    <row r="51" spans="1:13" x14ac:dyDescent="0.25">
      <c r="A51" t="s">
        <v>60</v>
      </c>
      <c r="M51">
        <v>93.984999999999999</v>
      </c>
    </row>
    <row r="52" spans="1:13" x14ac:dyDescent="0.25">
      <c r="A52" t="s">
        <v>61</v>
      </c>
      <c r="M52">
        <v>10.28</v>
      </c>
    </row>
    <row r="53" spans="1:13" x14ac:dyDescent="0.25">
      <c r="A53" t="s">
        <v>62</v>
      </c>
      <c r="M53">
        <v>131.54599999999999</v>
      </c>
    </row>
    <row r="54" spans="1:13" x14ac:dyDescent="0.25">
      <c r="A54" t="s">
        <v>63</v>
      </c>
      <c r="M54">
        <f>SUM(M43:M53)</f>
        <v>3944.866</v>
      </c>
    </row>
    <row r="56" spans="1:13" x14ac:dyDescent="0.25">
      <c r="A56" t="s">
        <v>64</v>
      </c>
      <c r="M56">
        <v>639.59900000000005</v>
      </c>
    </row>
    <row r="57" spans="1:13" x14ac:dyDescent="0.25">
      <c r="A57" t="s">
        <v>65</v>
      </c>
      <c r="M57">
        <v>851.89800000000002</v>
      </c>
    </row>
    <row r="58" spans="1:13" x14ac:dyDescent="0.25">
      <c r="A58" t="s">
        <v>66</v>
      </c>
      <c r="M58">
        <v>11.499000000000001</v>
      </c>
    </row>
    <row r="59" spans="1:13" x14ac:dyDescent="0.25">
      <c r="A59" t="s">
        <v>68</v>
      </c>
      <c r="M59">
        <v>1253.76</v>
      </c>
    </row>
    <row r="60" spans="1:13" x14ac:dyDescent="0.25">
      <c r="A60" t="s">
        <v>69</v>
      </c>
      <c r="M60">
        <v>80.826999999999998</v>
      </c>
    </row>
    <row r="61" spans="1:13" x14ac:dyDescent="0.25">
      <c r="A61" t="s">
        <v>70</v>
      </c>
      <c r="M61">
        <v>63.567999999999998</v>
      </c>
    </row>
    <row r="62" spans="1:13" x14ac:dyDescent="0.25">
      <c r="A62" t="s">
        <v>71</v>
      </c>
      <c r="M62">
        <v>72.81</v>
      </c>
    </row>
    <row r="63" spans="1:13" x14ac:dyDescent="0.25">
      <c r="A63" t="s">
        <v>67</v>
      </c>
      <c r="M63">
        <f>46.624+83.975</f>
        <v>130.59899999999999</v>
      </c>
    </row>
    <row r="64" spans="1:13" x14ac:dyDescent="0.25">
      <c r="A64" t="s">
        <v>72</v>
      </c>
      <c r="M64">
        <f>SUM(M56:M63)</f>
        <v>3104.5600000000009</v>
      </c>
    </row>
    <row r="66" spans="1:13" x14ac:dyDescent="0.25">
      <c r="A66" t="s">
        <v>73</v>
      </c>
      <c r="M66">
        <f>M54-M64</f>
        <v>840.30599999999913</v>
      </c>
    </row>
    <row r="68" spans="1:13" x14ac:dyDescent="0.25">
      <c r="A68" t="s">
        <v>74</v>
      </c>
      <c r="M68">
        <f>+M20/(M49)</f>
        <v>-13.215948595436204</v>
      </c>
    </row>
  </sheetData>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alexandreduartemorais@gmail.com</cp:lastModifiedBy>
  <dcterms:created xsi:type="dcterms:W3CDTF">2024-02-20T11:58:51Z</dcterms:created>
  <dcterms:modified xsi:type="dcterms:W3CDTF">2024-08-19T17:26:27Z</dcterms:modified>
</cp:coreProperties>
</file>